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\\fileserv2\Users\nstokely\My Documents\Templates\"/>
    </mc:Choice>
  </mc:AlternateContent>
  <xr:revisionPtr revIDLastSave="0" documentId="13_ncr:1_{C4DAA45E-F736-40C4-9F2A-7CF151E44A38}" xr6:coauthVersionLast="47" xr6:coauthVersionMax="47" xr10:uidLastSave="{00000000-0000-0000-0000-000000000000}"/>
  <bookViews>
    <workbookView xWindow="-28920" yWindow="-120" windowWidth="29040" windowHeight="15720" tabRatio="826" activeTab="1" xr2:uid="{99C887EA-EECC-4F3B-A876-D5A543D83D95}"/>
  </bookViews>
  <sheets>
    <sheet name="1. Instructions" sheetId="1" r:id="rId1"/>
    <sheet name="2.Dashboard" sheetId="2" r:id="rId2"/>
    <sheet name="3. Analysis" sheetId="3" r:id="rId3"/>
    <sheet name="4. First Yr. Cash Flow Schedule" sheetId="5" r:id="rId4"/>
    <sheet name="5. 15 Year Projection" sheetId="6" r:id="rId5"/>
    <sheet name="6. Snr. Debt Amortiz. Schedule" sheetId="11" r:id="rId6"/>
    <sheet name="7. Mezz. Debt Amortiz. Sched. " sheetId="12" r:id="rId7"/>
  </sheets>
  <externalReferences>
    <externalReference r:id="rId8"/>
    <externalReference r:id="rId9"/>
    <externalReference r:id="rId10"/>
  </externalReferences>
  <definedNames>
    <definedName name="__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_123Graph_X" hidden="1">#REF!</definedName>
    <definedName name="_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_1__123Graph_ACHART_1" hidden="1">'[1]REITs &amp; S&amp;P'!$F$11:$F$31</definedName>
    <definedName name="_2__123Graph_ACHART_2" hidden="1">[2]A!$E$171:$E$177</definedName>
    <definedName name="_3__123Graph_BCHART_1" hidden="1">[3]A!$E$135:$E$141</definedName>
    <definedName name="_4__123Graph_XCHART_1" hidden="1">'[1]REITs &amp; S&amp;P'!$D$11:$D$31</definedName>
    <definedName name="_5__123Graph_XCHART_2" hidden="1">[2]A!$D$171:$D$177</definedName>
    <definedName name="_wrn2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_wrn3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asdf2" hidden="1">{#N/A,#N/A,FALSE,"OperatingAssumptions"}</definedName>
    <definedName name="asdf3" hidden="1">{#N/A,#N/A,FALSE,"LoanAssumptions"}</definedName>
    <definedName name="asdf5" hidden="1">{"MonthlyRentRoll",#N/A,FALSE,"RentRoll"}</definedName>
    <definedName name="asdf7" hidden="1">{#N/A,#N/A,TRUE,"Summary";"AnnualRentRoll",#N/A,TRUE,"RentRoll";#N/A,#N/A,TRUE,"ExitStratigy";#N/A,#N/A,TRUE,"OperatingAssumptions"}</definedName>
    <definedName name="HTML_CodePage" hidden="1">1252</definedName>
    <definedName name="HTML_Control" hidden="1">{"'Cash Requirements 5F '!$A$1:$AC$48"}</definedName>
    <definedName name="HTML_Description" hidden="1">""</definedName>
    <definedName name="HTML_Email" hidden="1">""</definedName>
    <definedName name="HTML_Header" hidden="1">"Cash Requirements 5F"</definedName>
    <definedName name="HTML_LastUpdate" hidden="1">"7/10/00"</definedName>
    <definedName name="HTML_LineAfter" hidden="1">FALSE</definedName>
    <definedName name="HTML_LineBefore" hidden="1">FALSE</definedName>
    <definedName name="HTML_Name" hidden="1">"ERICK"</definedName>
    <definedName name="HTML_OBDlg2" hidden="1">TRUE</definedName>
    <definedName name="HTML_OBDlg4" hidden="1">TRUE</definedName>
    <definedName name="HTML_OS" hidden="1">0</definedName>
    <definedName name="HTML_PathFile" hidden="1">"C:\xldata\july2000cash.htm"</definedName>
    <definedName name="HTML_Title" hidden="1">"Discover July 2000 Cashflow"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MACHINERY" hidden="1">"c711"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Print" hidden="1">{#N/A,#N/A,TRUE,"Cover";#N/A,#N/A,TRUE,"Stack";#N/A,#N/A,TRUE,"Cost S";#N/A,#N/A,TRUE,"Financing";#N/A,#N/A,TRUE," CF";#N/A,#N/A,TRUE,"CF Mnthly";#N/A,#N/A,TRUE,"CF assum";#N/A,#N/A,TRUE,"Unit Sales";#N/A,#N/A,TRUE,"REV";#N/A,#N/A,TRUE,"Bdgt Backup"}</definedName>
    <definedName name="Print2" hidden="1">{#N/A,#N/A,FALSE,"Cover";#N/A,#N/A,FALSE,"Stack";#N/A,#N/A,FALSE,"Cost S";#N/A,#N/A,FALSE," CF";#N/A,#N/A,FALSE,"Investor"}</definedName>
    <definedName name="Residu" hidden="1">{#N/A,#N/A,TRUE,"Summary";"AnnualRentRoll",#N/A,TRUE,"RentRoll";#N/A,#N/A,TRUE,"ExitStratigy";#N/A,#N/A,TRUE,"OperatingAssumptions"}</definedName>
    <definedName name="sadd" hidden="1">{"MonthlyRentRoll",#N/A,FALSE,"RentRoll"}</definedName>
    <definedName name="sadd1" hidden="1">{"MonthlyRentRoll",#N/A,FALSE,"RentRoll"}</definedName>
    <definedName name="sadd2" hidden="1">{"MonthlyRentRoll",#N/A,FALSE,"RentRoll"}</definedName>
    <definedName name="saddd" hidden="1">{"AnnualRentRoll",#N/A,FALSE,"RentRoll"}</definedName>
    <definedName name="saddd2" hidden="1">{"AnnualRentRoll",#N/A,FALSE,"RentRoll"}</definedName>
    <definedName name="sadddd2" hidden="1">{"AnnualRentRoll",#N/A,FALSE,"RentRoll"}</definedName>
    <definedName name="saddddd" hidden="1">{"AnnualRentRoll",#N/A,FALSE,"RentRoll"}</definedName>
    <definedName name="saddddddd2" hidden="1">{#N/A,#N/A,FALSE,"ExitStratigy"}</definedName>
    <definedName name="sadddddddd" hidden="1">{#N/A,#N/A,FALSE,"ExitStratigy"}</definedName>
    <definedName name="saddddddddd2" hidden="1">{#N/A,#N/A,FALSE,"LoanAssumptions"}</definedName>
    <definedName name="sadddddddddd" hidden="1">{#N/A,#N/A,FALSE,"LoanAssumptions"}</definedName>
    <definedName name="saddddddddddd2" hidden="1">{#N/A,#N/A,FALSE,"OperatingAssumptions"}</definedName>
    <definedName name="saddddddddddddd" hidden="1">{#N/A,#N/A,FALSE,"OperatingAssumptions"}</definedName>
    <definedName name="what_asdf2" hidden="1">{#N/A,#N/A,FALSE,"OperatingAssumptions"}</definedName>
    <definedName name="wrn.2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AnnualRentRoll" hidden="1">{"AnnualRentRoll",#N/A,FALSE,"RentRoll"}</definedName>
    <definedName name="wrn.AnnualRentRoll." hidden="1">{"AnnualRentRoll",#N/A,FALSE,"RentRoll"}</definedName>
    <definedName name="wrn.annualrentroll2" hidden="1">{"AnnualRentRoll",#N/A,FALSE,"RentRoll"}</definedName>
    <definedName name="wrn.CF._.Print." hidden="1">{#N/A,#N/A,FALSE,"Cash Flow";#N/A,#N/A,FALSE,"FFO";#N/A,#N/A,FALSE,"Dvlpt Assumptions";#N/A,#N/A,FALSE,"Equity &amp; Constr Financing";#N/A,#N/A,FALSE,"JV Fee Analysis - cash";#N/A,#N/A,FALSE,"JV Fee Analysis - GAAP";#N/A,#N/A,FALSE,"Prop CF Adj";#N/A,#N/A,FALSE,"Land Sales";#N/A,#N/A,FALSE,"Capex, existing";#N/A,#N/A,FALSE,"Capex,97 Budget";#N/A,#N/A,FALSE,"Capex, dvlpt";#N/A,#N/A,FALSE,"Cap overhead";#N/A,#N/A,FALSE,"Project Equity";#N/A,#N/A,FALSE,"Leasing Fees";#N/A,#N/A,FALSE,"Debt";#N/A,#N/A,FALSE,"Capitalized Interest";#N/A,#N/A,FALSE,"FF&amp; E Loan";#N/A,#N/A,FALSE,"Strip loan";#N/A,#N/A,FALSE,"Franklin Loan";#N/A,#N/A,FALSE,"Poto_Gurn Amortiz";#N/A,#N/A,FALSE,"Dividend Distr";#N/A,#N/A,FALSE,"Investment in Partnerships";#N/A,#N/A,FALSE,"JV Ops Cash Flow Adj.";#N/A,#N/A,FALSE,"Ontario";#N/A,#N/A,FALSE,"Ontario-Proj";#N/A,#N/A,FALSE,"Ont Debt";#N/A,#N/A,FALSE,"Grapevine";#N/A,#N/A,FALSE,"Grapevine-Proj";#N/A,#N/A,FALSE,"Arizona";#N/A,#N/A,FALSE,"Arizona - Proj";#N/A,#N/A,FALSE,"Sawgrass Ph III";#N/A,#N/A,FALSE,"Saw Phase III-Proj";#N/A,#N/A,FALSE,"City Center";#N/A,#N/A,FALSE,"City Center-Proj";#N/A,#N/A,FALSE,"Columbus";#N/A,#N/A,FALSE,"Columbus-Proj";#N/A,#N/A,FALSE,"Atlanta";#N/A,#N/A,FALSE,"Atlanta-Proj";#N/A,#N/A,FALSE,"Monee";#N/A,#N/A,FALSE,"Monee-Proj";#N/A,#N/A,FALSE,"Houston";#N/A,#N/A,FALSE,"Houston-Proj";#N/A,#N/A,FALSE,"San Francisco";#N/A,#N/A,FALSE,"San Francisco-Proj";#N/A,#N/A,FALSE,"Meadowlands";#N/A,#N/A,FALSE,"Meadowlands-Proj";#N/A,#N/A,FALSE,"Toronto";#N/A,#N/A,FALSE,"Toronto-Proj"}</definedName>
    <definedName name="wrn.ExitAndSalesAssumptions." hidden="1">{#N/A,#N/A,FALSE,"ExitStratigy"}</definedName>
    <definedName name="wrn.FCG." hidden="1">{#N/A,#N/A,TRUE,"Title Page";#N/A,#N/A,TRUE,"Executive Summary";#N/A,#N/A,TRUE,"Cash Flow";#N/A,#N/A,TRUE,"Exp Detail";#N/A,#N/A,TRUE,"Pricing Matrix";#N/A,#N/A,TRUE,"Value Matrix";#N/A,#N/A,TRUE,"Assumptions";#N/A,#N/A,TRUE,"Vacant Space";#N/A,#N/A,TRUE,"2nd Generation";#N/A,#N/A,TRUE,"Existing vs Mkt";#N/A,#N/A,TRUE,"Expiration Schedule";#N/A,#N/A,TRUE,"Expiration Graph ";#N/A,#N/A,TRUE,"Residual - Marketing";#N/A,#N/A,TRUE,"Vacancy Detail"}</definedName>
    <definedName name="wrn.Full_Template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Schedule";#N/A,#N/A,FALSE,"13Residual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Hold._.Sell." hidden="1">{#N/A,#N/A,FALSE,"13Residual 2007";#N/A,#N/A,FALSE,"14Residual 2008";#N/A,#N/A,FALSE,"15Residual 2009";#N/A,#N/A,FALSE,"16Residual 2010";#N/A,#N/A,FALSE,"17Residual 2011";#N/A,#N/A,FALSE,"18Hold Disposition Matrix";#N/A,#N/A,FALSE,"19Other Disposition Matrix"}</definedName>
    <definedName name="wrn.Leasing._.Variance." hidden="1">{#N/A,#N/A,FALSE,"Leasing 6A"}</definedName>
    <definedName name="wrn.LoanInformation." hidden="1">{#N/A,#N/A,FALSE,"LoanAssumptions"}</definedName>
    <definedName name="wrn.Marketing." hidden="1">{#N/A,#N/A,FALSE,"2Assumptions";#N/A,#N/A,FALSE,"3Cash Flow";#N/A,#N/A,FALSE,"I&amp;E";#N/A,#N/A,FALSE,"I&amp;E (2)";#N/A,#N/A,FALSE,"10Vacancy Matrix";#N/A,#N/A,FALSE,"11Expiration Schedule"}</definedName>
    <definedName name="wrn.monthly._.financial." hidden="1">{#N/A,#N/A,FALSE,"SUMMARY 4a";#N/A,#N/A,FALSE,"GBA 4b";#N/A,#N/A,FALSE,"TENANT 4c";#N/A,#N/A,FALSE,"BUDGET DETAIL";#N/A,#N/A,FALSE,"PRO FORMA"}</definedName>
    <definedName name="wrn.MonthlyRentRoll." hidden="1">{"MonthlyRentRoll",#N/A,FALSE,"RentRoll"}</definedName>
    <definedName name="wrn.ontario." hidden="1">{"page1",#N/A,FALSE,"sheet 1";"Page2",#N/A,FALSE,"sheet 1";"page3",#N/A,FALSE,"sheet 1";"page4",#N/A,FALSE,"sheet 1"}</definedName>
    <definedName name="wrn.OperatingAssumtions." hidden="1">{#N/A,#N/A,FALSE,"OperatingAssumptions"}</definedName>
    <definedName name="wrn.p3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ackage." hidden="1">{#N/A,#N/A,FALSE,"Executive Summary";#N/A,#N/A,FALSE,"Assumptions";#N/A,#N/A,FALSE,"Cash Flow";#N/A,#N/A,FALSE,"I&amp;E ";#N/A,#N/A,FALSE,"Occupancy Cost";#N/A,#N/A,FALSE,"Vacancy (Mall)";#N/A,#N/A,FALSE,"Expiration Schedule";#N/A,#N/A,FALSE,"Expiration Graph ";#N/A,#N/A,FALSE,"sales graph";#N/A,#N/A,FALSE,"Vacant rents";#N/A,#N/A,FALSE,"Hist Sales";#N/A,#N/A,FALSE,"Monthly Sales";#N/A,#N/A,FALSE,"Rent Roll"}</definedName>
    <definedName name="wrn.Partial." hidden="1">{#N/A,#N/A,FALSE,"Assumptions";#N/A,#N/A,FALSE,"Year One Pro Forma";#N/A,#N/A,FALSE,"Rent Roll Summary";#N/A,#N/A,FALSE,"Market Rent Detail";#N/A,#N/A,FALSE,"Rent Roll Summary";#N/A,#N/A,FALSE,"Market Rent Increases";#N/A,#N/A,FALSE,"Exec Sum 10Yr";#N/A,#N/A,FALSE,"Cash Flow Projections";#N/A,#N/A,FALSE,"Net Residual Value";#N/A,#N/A,FALSE,"Effective Rental Income Detail";#N/A,#N/A,FALSE,"Turnovers";#N/A,#N/A,FALSE,"Matrices"}</definedName>
    <definedName name="wrn.PR_TRIAL_BALANCE." hidden="1">{"TB_PR","50",FALSE,"PR_TRIAL_BALANCE";"TB_PR","51",FALSE,"PR_TRIAL_BALANCE";"TB_PR","52",FALSE,"PR_TRIAL_BALANCE";"TB_PR","53",FALSE,"PR_TRIAL_BALANCE";"TB_PR","54",FALSE,"PR_TRIAL_BALANCE";"TB_PR","55",FALSE,"PR_TRIAL_BALANCE";"TB_PR","56",FALSE,"PR_TRIAL_BALANCE";"TB_PR","57",FALSE,"PR_TRIAL_BALANCE";"TB_PR","61",FALSE,"PR_TRIAL_BALANCE";"TB_PR","63",FALSE,"PR_TRIAL_BALANCE";"TB_PR","65",FALSE,"PR_TRIAL_BALANCE";"TB_PR","66",FALSE,"PR_TRIAL_BALANCE"}</definedName>
    <definedName name="wrn.Presentation." hidden="1">{#N/A,#N/A,TRUE,"Summary";"AnnualRentRoll",#N/A,TRUE,"RentRoll";#N/A,#N/A,TRUE,"ExitStratigy";#N/A,#N/A,TRUE,"OperatingAssumptions"}</definedName>
    <definedName name="wrn.Pricing._.Strategy." hidden="1">{#N/A,#N/A,FALSE,"1Summary";#N/A,#N/A,FALSE,"2Assumptions";#N/A,#N/A,FALSE,"3Cash Flow";#N/A,#N/A,FALSE,"4Year 1 Reconciliation";#N/A,#N/A,FALSE,"5Residual";#N/A,#N/A,FALSE,"6Residual (Year 20)";#N/A,#N/A,FALSE,"7Financing Sensitivity";#N/A,#N/A,FALSE,"8Residual Sensitivity";#N/A,#N/A,FALSE,"9Pricing Matrix";#N/A,#N/A,FALSE,"10Vacancy Matrix";#N/A,#N/A,FALSE,"11Expiration Schedule";#N/A,#N/A,FALSE,"12Lease-up Schedule"}</definedName>
    <definedName name="wrn.Print." hidden="1">{#N/A,#N/A,TRUE,"Cover";#N/A,#N/A,TRUE,"Stack";#N/A,#N/A,TRUE,"Cost S";#N/A,#N/A,TRUE,"Financing";#N/A,#N/A,TRUE," CF";#N/A,#N/A,TRUE,"CF Mnthly";#N/A,#N/A,TRUE,"CF assum";#N/A,#N/A,TRUE,"Unit Sales";#N/A,#N/A,TRUE,"REV";#N/A,#N/A,TRUE,"Bdgt Backup"}</definedName>
    <definedName name="wrn.PrintAll." hidden="1">{#N/A,#N/A,FALSE,"Broker Sheet";#N/A,#N/A,FALSE,"Exec.Summary";#N/A,#N/A,FALSE,"Argus Cash Flow";#N/A,#N/A,FALSE,"SPF";#N/A,#N/A,FALSE,"RentRoll"}</definedName>
    <definedName name="wrn.Proforma." hidden="1">{#N/A,#N/A,TRUE,"Summary";#N/A,#N/A,TRUE,"InPlace";#N/A,#N/A,TRUE,"Stable";#N/A,#N/A,TRUE,"RentRoll";#N/A,#N/A,TRUE,"I&amp;E";#N/A,#N/A,TRUE,"Expense Detail";#N/A,#N/A,TRUE,"CAM Recov(InPlace)";#N/A,#N/A,TRUE,"CAM Recov(Stable)";#N/A,#N/A,TRUE,"Tax Recov";#N/A,#N/A,TRUE,"Expiration";#N/A,#N/A,TRUE,"Sales";#N/A,#N/A,TRUE,"Tax"}</definedName>
    <definedName name="wrn.PropertyInformation." hidden="1">{#N/A,#N/A,FALSE,"PropertyInfo"}</definedName>
    <definedName name="wrn.Report." hidden="1">{#N/A,#N/A,FALSE,"Summary";#N/A,#N/A,FALSE,"Assumptions";#N/A,#N/A,FALSE,"Notes";#N/A,#N/A,FALSE,"Cash Flow";#N/A,#N/A,FALSE,"Eff. Rent Detail";#N/A,#N/A,FALSE,"Residual";#N/A,#N/A,FALSE,"Value Matrix";#N/A,#N/A,FALSE,"Pro Forma";#N/A,#N/A,FALSE,"Historical Op";#N/A,#N/A,FALSE,"Value Comp";#N/A,#N/A,FALSE,"Matrices"}</definedName>
    <definedName name="wrn.Short._.Print." hidden="1">{#N/A,#N/A,FALSE,"Cover";#N/A,#N/A,FALSE,"Stack";#N/A,#N/A,FALSE,"Cost S";#N/A,#N/A,FALSE," CF";#N/A,#N/A,FALSE,"Investor"}</definedName>
    <definedName name="wrn.Summary." hidden="1">{#N/A,#N/A,FALSE,"Summary"}</definedName>
    <definedName name="wrn.Template." hidden="1">{#N/A,#N/A,FALSE,"1_Executive Summary";#N/A,#N/A,FALSE,"2_Assumptions";#N/A,#N/A,FALSE,"3_Footnotes";#N/A,#N/A,FALSE,"4_Cash Flow";#N/A,#N/A,FALSE,"6_Residual - Marketing";#N/A,#N/A,FALSE,"7_Residual Matrix";#N/A,#N/A,FALSE,"8_Pricing Matrix";#N/A,#N/A,FALSE,"9_Value Matrix";#N/A,#N/A,FALSE,"10_Vacancy Detail";#N/A,#N/A,FALSE,"11_Basic Expiration"}</definedName>
    <definedName name="wrn.USSC_Reports." hidden="1">{#N/A,#N/A,FALSE,"9Pricing Matrix";#N/A,#N/A,FALSE,"1Summary";#N/A,#N/A,FALSE,"2Assumptions";#N/A,#N/A,FALSE,"3Cash Flow";#N/A,#N/A,FALSE,"5Residual";#N/A,#N/A,FALSE,"Occupancy Cost";#N/A,#N/A,FALSE,"7Financing Sensitivity";#N/A,#N/A,FALSE,"8Residual Sensitivity";#N/A,#N/A,FALSE,"10Vacancy Matrix";#N/A,#N/A,FALSE,"11Expiration Schedule";#N/A,#N/A,FALSE,"12Lease-up Schedule";#N/A,#N/A,FALSE,"OFS-Lease-up Schedule";#N/A,#N/A,FALSE,"Short Holds"}</definedName>
    <definedName name="xxx3" hidden="1">{"AnnualRentRoll",#N/A,FALSE,"RentRoll"}</definedName>
    <definedName name="xxx4" hidden="1">{#N/A,#N/A,FALSE,"ExitStratigy"}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" i="2" l="1"/>
  <c r="H42" i="2"/>
  <c r="L28" i="2"/>
  <c r="C15" i="3"/>
  <c r="E47" i="3" l="1"/>
  <c r="D26" i="2"/>
  <c r="E56" i="3"/>
  <c r="E57" i="3"/>
  <c r="E58" i="3"/>
  <c r="E59" i="3"/>
  <c r="E55" i="3"/>
  <c r="H55" i="3"/>
  <c r="H57" i="3" l="1"/>
  <c r="H56" i="3"/>
  <c r="H58" i="3" l="1"/>
  <c r="H59" i="3"/>
  <c r="D25" i="2" l="1"/>
  <c r="D11" i="6"/>
  <c r="D11" i="3"/>
  <c r="C55" i="2"/>
  <c r="D28" i="3"/>
  <c r="E28" i="3" s="1"/>
  <c r="F28" i="3" s="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15" i="11"/>
  <c r="E11" i="3" l="1"/>
  <c r="D15" i="3"/>
  <c r="G28" i="3"/>
  <c r="F11" i="3" l="1"/>
  <c r="E15" i="3"/>
  <c r="H28" i="3"/>
  <c r="F15" i="3" l="1"/>
  <c r="G11" i="3"/>
  <c r="I28" i="3"/>
  <c r="H11" i="3" l="1"/>
  <c r="G15" i="3"/>
  <c r="J28" i="3"/>
  <c r="H15" i="3" l="1"/>
  <c r="I11" i="3"/>
  <c r="K28" i="3"/>
  <c r="J11" i="3" l="1"/>
  <c r="I15" i="3"/>
  <c r="L28" i="3"/>
  <c r="J15" i="3" l="1"/>
  <c r="K11" i="3"/>
  <c r="M28" i="3"/>
  <c r="L11" i="3" l="1"/>
  <c r="K15" i="3"/>
  <c r="K16" i="3" s="1"/>
  <c r="N28" i="3"/>
  <c r="M11" i="3" l="1"/>
  <c r="L15" i="3"/>
  <c r="L16" i="3" s="1"/>
  <c r="O28" i="3"/>
  <c r="M15" i="3" l="1"/>
  <c r="M16" i="3" s="1"/>
  <c r="N11" i="3"/>
  <c r="P28" i="3"/>
  <c r="N15" i="3" l="1"/>
  <c r="N16" i="3" s="1"/>
  <c r="O11" i="3"/>
  <c r="Q28" i="3"/>
  <c r="P11" i="3" l="1"/>
  <c r="O15" i="3"/>
  <c r="O16" i="3" s="1"/>
  <c r="R28" i="3"/>
  <c r="Q11" i="3" l="1"/>
  <c r="P15" i="3"/>
  <c r="P16" i="3" s="1"/>
  <c r="Q46" i="5"/>
  <c r="H32" i="2"/>
  <c r="H30" i="2"/>
  <c r="D47" i="5"/>
  <c r="E9" i="5"/>
  <c r="F8" i="6" s="1"/>
  <c r="R11" i="3" l="1"/>
  <c r="Q15" i="3"/>
  <c r="Q16" i="3" s="1"/>
  <c r="Q13" i="3"/>
  <c r="M15" i="2"/>
  <c r="D54" i="5"/>
  <c r="E43" i="5" s="1"/>
  <c r="C60" i="2"/>
  <c r="C50" i="2"/>
  <c r="K19" i="2"/>
  <c r="E9" i="12"/>
  <c r="E10" i="12" s="1"/>
  <c r="E7" i="12"/>
  <c r="E8" i="12" s="1"/>
  <c r="G8" i="12" s="1"/>
  <c r="B16" i="12"/>
  <c r="L7" i="12"/>
  <c r="D17" i="6"/>
  <c r="D18" i="6"/>
  <c r="D19" i="6"/>
  <c r="D20" i="6"/>
  <c r="D21" i="6"/>
  <c r="D22" i="6"/>
  <c r="D16" i="6"/>
  <c r="F9" i="11"/>
  <c r="F10" i="11" s="1"/>
  <c r="F7" i="11"/>
  <c r="F8" i="11" s="1"/>
  <c r="H8" i="11" s="1"/>
  <c r="C16" i="11"/>
  <c r="M7" i="11"/>
  <c r="R13" i="3" l="1"/>
  <c r="R15" i="3"/>
  <c r="R16" i="3" s="1"/>
  <c r="E54" i="5"/>
  <c r="B17" i="12"/>
  <c r="C17" i="11"/>
  <c r="C56" i="2" l="1"/>
  <c r="F54" i="5"/>
  <c r="B18" i="12"/>
  <c r="C18" i="11"/>
  <c r="G54" i="5" l="1"/>
  <c r="B19" i="12"/>
  <c r="C19" i="11"/>
  <c r="H54" i="5" l="1"/>
  <c r="B20" i="12"/>
  <c r="C20" i="11"/>
  <c r="I54" i="5" l="1"/>
  <c r="B21" i="12"/>
  <c r="C21" i="11"/>
  <c r="J54" i="5" l="1"/>
  <c r="B22" i="12"/>
  <c r="C22" i="11"/>
  <c r="K54" i="5" l="1"/>
  <c r="B23" i="12"/>
  <c r="C23" i="11"/>
  <c r="L54" i="5" l="1"/>
  <c r="B24" i="12"/>
  <c r="C24" i="11"/>
  <c r="M54" i="5" l="1"/>
  <c r="B25" i="12"/>
  <c r="C25" i="11"/>
  <c r="N54" i="5" l="1"/>
  <c r="B26" i="12"/>
  <c r="C26" i="11"/>
  <c r="O54" i="5" l="1"/>
  <c r="B27" i="12"/>
  <c r="C27" i="11"/>
  <c r="P54" i="5" l="1"/>
  <c r="B28" i="12"/>
  <c r="C28" i="11"/>
  <c r="B29" i="12" l="1"/>
  <c r="C29" i="11"/>
  <c r="B30" i="12" l="1"/>
  <c r="C30" i="11"/>
  <c r="B31" i="12" l="1"/>
  <c r="C31" i="11"/>
  <c r="B32" i="12" l="1"/>
  <c r="C32" i="11"/>
  <c r="B33" i="12" l="1"/>
  <c r="C33" i="11"/>
  <c r="B34" i="12" l="1"/>
  <c r="C34" i="11"/>
  <c r="B35" i="12" l="1"/>
  <c r="C35" i="11"/>
  <c r="B36" i="12" l="1"/>
  <c r="C36" i="11"/>
  <c r="B37" i="12" l="1"/>
  <c r="C37" i="11"/>
  <c r="B38" i="12" l="1"/>
  <c r="C38" i="11"/>
  <c r="B39" i="12" l="1"/>
  <c r="C39" i="11"/>
  <c r="B40" i="12" l="1"/>
  <c r="C40" i="11"/>
  <c r="B41" i="12" l="1"/>
  <c r="C41" i="11"/>
  <c r="B42" i="12" l="1"/>
  <c r="C42" i="11"/>
  <c r="B43" i="12" l="1"/>
  <c r="C43" i="11"/>
  <c r="B44" i="12" l="1"/>
  <c r="C44" i="11"/>
  <c r="B45" i="12" l="1"/>
  <c r="C45" i="11"/>
  <c r="B46" i="12" l="1"/>
  <c r="C46" i="11"/>
  <c r="B47" i="12" l="1"/>
  <c r="C47" i="11"/>
  <c r="B48" i="12" l="1"/>
  <c r="C48" i="11"/>
  <c r="B49" i="12" l="1"/>
  <c r="C49" i="11"/>
  <c r="B50" i="12" l="1"/>
  <c r="C50" i="11"/>
  <c r="B51" i="12" l="1"/>
  <c r="C51" i="11"/>
  <c r="B52" i="12" l="1"/>
  <c r="C52" i="11"/>
  <c r="B53" i="12" l="1"/>
  <c r="C53" i="11"/>
  <c r="B54" i="12" l="1"/>
  <c r="C54" i="11"/>
  <c r="B55" i="12" l="1"/>
  <c r="C55" i="11"/>
  <c r="B56" i="12" l="1"/>
  <c r="C56" i="11"/>
  <c r="B57" i="12" l="1"/>
  <c r="C57" i="11"/>
  <c r="B58" i="12" l="1"/>
  <c r="C58" i="11"/>
  <c r="B59" i="12" l="1"/>
  <c r="C59" i="11"/>
  <c r="B60" i="12" l="1"/>
  <c r="C60" i="11"/>
  <c r="B61" i="12" l="1"/>
  <c r="C61" i="11"/>
  <c r="B62" i="12" l="1"/>
  <c r="C62" i="11"/>
  <c r="B63" i="12" l="1"/>
  <c r="C63" i="11"/>
  <c r="B64" i="12" l="1"/>
  <c r="C64" i="11"/>
  <c r="B65" i="12" l="1"/>
  <c r="C65" i="11"/>
  <c r="B66" i="12" l="1"/>
  <c r="C66" i="11"/>
  <c r="B67" i="12" l="1"/>
  <c r="C67" i="11"/>
  <c r="B68" i="12" l="1"/>
  <c r="C68" i="11"/>
  <c r="B69" i="12" l="1"/>
  <c r="C69" i="11"/>
  <c r="B70" i="12" l="1"/>
  <c r="C70" i="11"/>
  <c r="B71" i="12" l="1"/>
  <c r="C71" i="11"/>
  <c r="B72" i="12" l="1"/>
  <c r="C72" i="11"/>
  <c r="B73" i="12" l="1"/>
  <c r="C73" i="11"/>
  <c r="B74" i="12" l="1"/>
  <c r="C74" i="11"/>
  <c r="B75" i="12" l="1"/>
  <c r="C75" i="11"/>
  <c r="B76" i="12" l="1"/>
  <c r="C76" i="11"/>
  <c r="B77" i="12" l="1"/>
  <c r="C77" i="11"/>
  <c r="B78" i="12" l="1"/>
  <c r="C78" i="11"/>
  <c r="B79" i="12" l="1"/>
  <c r="C79" i="11"/>
  <c r="B80" i="12" l="1"/>
  <c r="C80" i="11"/>
  <c r="B81" i="12" l="1"/>
  <c r="C81" i="11"/>
  <c r="B82" i="12" l="1"/>
  <c r="C82" i="11"/>
  <c r="B83" i="12" l="1"/>
  <c r="C83" i="11"/>
  <c r="B84" i="12" l="1"/>
  <c r="C84" i="11"/>
  <c r="B85" i="12" l="1"/>
  <c r="C85" i="11"/>
  <c r="B86" i="12" l="1"/>
  <c r="C86" i="11"/>
  <c r="B87" i="12" l="1"/>
  <c r="C87" i="11"/>
  <c r="B88" i="12" l="1"/>
  <c r="C88" i="11"/>
  <c r="B89" i="12" l="1"/>
  <c r="C89" i="11"/>
  <c r="B90" i="12" l="1"/>
  <c r="C90" i="11"/>
  <c r="B91" i="12" l="1"/>
  <c r="C91" i="11"/>
  <c r="B92" i="12" l="1"/>
  <c r="C92" i="11"/>
  <c r="B93" i="12" l="1"/>
  <c r="C93" i="11"/>
  <c r="B94" i="12" l="1"/>
  <c r="C94" i="11"/>
  <c r="B95" i="12" l="1"/>
  <c r="C95" i="11"/>
  <c r="B96" i="12" l="1"/>
  <c r="C96" i="11"/>
  <c r="B97" i="12" l="1"/>
  <c r="C97" i="11"/>
  <c r="B98" i="12" l="1"/>
  <c r="C98" i="11"/>
  <c r="B99" i="12" l="1"/>
  <c r="C99" i="11"/>
  <c r="B100" i="12" l="1"/>
  <c r="C100" i="11"/>
  <c r="B101" i="12" l="1"/>
  <c r="C101" i="11"/>
  <c r="B102" i="12" l="1"/>
  <c r="C102" i="11"/>
  <c r="B103" i="12" l="1"/>
  <c r="C103" i="11"/>
  <c r="B104" i="12" l="1"/>
  <c r="C104" i="11"/>
  <c r="B105" i="12" l="1"/>
  <c r="C105" i="11"/>
  <c r="B106" i="12" l="1"/>
  <c r="C106" i="11"/>
  <c r="B107" i="12" l="1"/>
  <c r="C107" i="11"/>
  <c r="B108" i="12" l="1"/>
  <c r="C108" i="11"/>
  <c r="B109" i="12" l="1"/>
  <c r="C109" i="11"/>
  <c r="B110" i="12" l="1"/>
  <c r="C110" i="11"/>
  <c r="B111" i="12" l="1"/>
  <c r="C111" i="11"/>
  <c r="B112" i="12" l="1"/>
  <c r="C112" i="11"/>
  <c r="B113" i="12" l="1"/>
  <c r="C113" i="11"/>
  <c r="B114" i="12" l="1"/>
  <c r="C114" i="11"/>
  <c r="B115" i="12" l="1"/>
  <c r="C115" i="11"/>
  <c r="B116" i="12" l="1"/>
  <c r="C116" i="11"/>
  <c r="B117" i="12" l="1"/>
  <c r="C117" i="11"/>
  <c r="B118" i="12" l="1"/>
  <c r="C118" i="11"/>
  <c r="B119" i="12" l="1"/>
  <c r="C119" i="11"/>
  <c r="B120" i="12" l="1"/>
  <c r="C120" i="11"/>
  <c r="B121" i="12" l="1"/>
  <c r="C121" i="11"/>
  <c r="B122" i="12" l="1"/>
  <c r="C122" i="11"/>
  <c r="B123" i="12" l="1"/>
  <c r="C123" i="11"/>
  <c r="B124" i="12" l="1"/>
  <c r="C124" i="11"/>
  <c r="B125" i="12" l="1"/>
  <c r="C125" i="11"/>
  <c r="B126" i="12" l="1"/>
  <c r="C126" i="11"/>
  <c r="B127" i="12" l="1"/>
  <c r="C127" i="11"/>
  <c r="B128" i="12" l="1"/>
  <c r="C128" i="11"/>
  <c r="B129" i="12" l="1"/>
  <c r="C129" i="11"/>
  <c r="B130" i="12" l="1"/>
  <c r="C130" i="11"/>
  <c r="B131" i="12" l="1"/>
  <c r="C131" i="11"/>
  <c r="B132" i="12" l="1"/>
  <c r="C132" i="11"/>
  <c r="B133" i="12" l="1"/>
  <c r="C133" i="11"/>
  <c r="B134" i="12" l="1"/>
  <c r="C134" i="11"/>
  <c r="B135" i="12" l="1"/>
  <c r="C135" i="11"/>
  <c r="B136" i="12" l="1"/>
  <c r="C136" i="11"/>
  <c r="B137" i="12" l="1"/>
  <c r="C137" i="11"/>
  <c r="B138" i="12" l="1"/>
  <c r="C138" i="11"/>
  <c r="B139" i="12" l="1"/>
  <c r="C139" i="11"/>
  <c r="B140" i="12" l="1"/>
  <c r="C140" i="11"/>
  <c r="B141" i="12" l="1"/>
  <c r="C141" i="11"/>
  <c r="B142" i="12" l="1"/>
  <c r="C142" i="11"/>
  <c r="B143" i="12" l="1"/>
  <c r="C143" i="11"/>
  <c r="B144" i="12" l="1"/>
  <c r="C144" i="11"/>
  <c r="B145" i="12" l="1"/>
  <c r="C145" i="11"/>
  <c r="B146" i="12" l="1"/>
  <c r="C146" i="11"/>
  <c r="B147" i="12" l="1"/>
  <c r="C147" i="11"/>
  <c r="B148" i="12" l="1"/>
  <c r="C148" i="11"/>
  <c r="B149" i="12" l="1"/>
  <c r="C149" i="11"/>
  <c r="B150" i="12" l="1"/>
  <c r="C150" i="11"/>
  <c r="B151" i="12" l="1"/>
  <c r="C151" i="11"/>
  <c r="B152" i="12" l="1"/>
  <c r="C152" i="11"/>
  <c r="B153" i="12" l="1"/>
  <c r="C153" i="11"/>
  <c r="B154" i="12" l="1"/>
  <c r="C154" i="11"/>
  <c r="B155" i="12" l="1"/>
  <c r="C155" i="11"/>
  <c r="B156" i="12" l="1"/>
  <c r="C156" i="11"/>
  <c r="B157" i="12" l="1"/>
  <c r="C157" i="11"/>
  <c r="B158" i="12" l="1"/>
  <c r="C158" i="11"/>
  <c r="B159" i="12" l="1"/>
  <c r="C159" i="11"/>
  <c r="B160" i="12" l="1"/>
  <c r="C160" i="11"/>
  <c r="B161" i="12" l="1"/>
  <c r="C161" i="11"/>
  <c r="B162" i="12" l="1"/>
  <c r="C162" i="11"/>
  <c r="B163" i="12" l="1"/>
  <c r="C163" i="11"/>
  <c r="B164" i="12" l="1"/>
  <c r="C164" i="11"/>
  <c r="B165" i="12" l="1"/>
  <c r="C165" i="11"/>
  <c r="B166" i="12" l="1"/>
  <c r="C166" i="11"/>
  <c r="B167" i="12" l="1"/>
  <c r="C167" i="11"/>
  <c r="B168" i="12" l="1"/>
  <c r="C168" i="11"/>
  <c r="B169" i="12" l="1"/>
  <c r="C169" i="11"/>
  <c r="B170" i="12" l="1"/>
  <c r="C170" i="11"/>
  <c r="B171" i="12" l="1"/>
  <c r="C171" i="11"/>
  <c r="B172" i="12" l="1"/>
  <c r="C172" i="11"/>
  <c r="B173" i="12" l="1"/>
  <c r="C173" i="11"/>
  <c r="B174" i="12" l="1"/>
  <c r="C174" i="11"/>
  <c r="B175" i="12" l="1"/>
  <c r="C175" i="11"/>
  <c r="B176" i="12" l="1"/>
  <c r="C176" i="11"/>
  <c r="B177" i="12" l="1"/>
  <c r="C177" i="11"/>
  <c r="B178" i="12" l="1"/>
  <c r="C178" i="11"/>
  <c r="B179" i="12" l="1"/>
  <c r="C179" i="11"/>
  <c r="B180" i="12" l="1"/>
  <c r="C180" i="11"/>
  <c r="B181" i="12" l="1"/>
  <c r="C181" i="11"/>
  <c r="B182" i="12" l="1"/>
  <c r="C182" i="11"/>
  <c r="B183" i="12" l="1"/>
  <c r="C183" i="11"/>
  <c r="B184" i="12" l="1"/>
  <c r="C184" i="11"/>
  <c r="B185" i="12" l="1"/>
  <c r="C185" i="11"/>
  <c r="B186" i="12" l="1"/>
  <c r="C186" i="11"/>
  <c r="B187" i="12" l="1"/>
  <c r="C187" i="11"/>
  <c r="B188" i="12" l="1"/>
  <c r="C188" i="11"/>
  <c r="B189" i="12" l="1"/>
  <c r="C189" i="11"/>
  <c r="B190" i="12" l="1"/>
  <c r="C190" i="11"/>
  <c r="B191" i="12" l="1"/>
  <c r="C191" i="11"/>
  <c r="B192" i="12" l="1"/>
  <c r="C192" i="11"/>
  <c r="B193" i="12" l="1"/>
  <c r="C193" i="11"/>
  <c r="B194" i="12" l="1"/>
  <c r="C194" i="11"/>
  <c r="B195" i="12" l="1"/>
  <c r="C195" i="11"/>
  <c r="B196" i="12" l="1"/>
  <c r="C196" i="11"/>
  <c r="C195" i="12" l="1"/>
  <c r="B197" i="12"/>
  <c r="C197" i="11"/>
  <c r="B198" i="12" l="1"/>
  <c r="C198" i="11"/>
  <c r="B199" i="12" l="1"/>
  <c r="C197" i="12"/>
  <c r="C199" i="11"/>
  <c r="C199" i="12" l="1"/>
  <c r="B200" i="12"/>
  <c r="C200" i="11"/>
  <c r="C200" i="12" l="1"/>
  <c r="B201" i="12"/>
  <c r="C201" i="11"/>
  <c r="B202" i="12" l="1"/>
  <c r="C201" i="12"/>
  <c r="C202" i="11"/>
  <c r="C202" i="12" l="1"/>
  <c r="B203" i="12"/>
  <c r="C203" i="11"/>
  <c r="C203" i="12" l="1"/>
  <c r="B204" i="12"/>
  <c r="C204" i="11"/>
  <c r="B205" i="12" l="1"/>
  <c r="C205" i="11"/>
  <c r="C204" i="12" l="1"/>
  <c r="B206" i="12"/>
  <c r="C206" i="11"/>
  <c r="B207" i="12" l="1"/>
  <c r="C206" i="12"/>
  <c r="C207" i="11"/>
  <c r="C207" i="12" l="1"/>
  <c r="B208" i="12"/>
  <c r="C208" i="11"/>
  <c r="B209" i="12" l="1"/>
  <c r="C209" i="11"/>
  <c r="C208" i="12" l="1"/>
  <c r="B210" i="12"/>
  <c r="C210" i="11"/>
  <c r="B211" i="12" l="1"/>
  <c r="C211" i="11"/>
  <c r="B212" i="12" l="1"/>
  <c r="C210" i="12"/>
  <c r="C212" i="11"/>
  <c r="B213" i="12" l="1"/>
  <c r="C213" i="11"/>
  <c r="B214" i="12" l="1"/>
  <c r="C214" i="11"/>
  <c r="B215" i="12" l="1"/>
  <c r="C215" i="11"/>
  <c r="B216" i="12" l="1"/>
  <c r="C216" i="11"/>
  <c r="B217" i="12" l="1"/>
  <c r="C217" i="11"/>
  <c r="B218" i="12" l="1"/>
  <c r="C216" i="12"/>
  <c r="C218" i="11"/>
  <c r="B219" i="12" l="1"/>
  <c r="C219" i="11"/>
  <c r="C218" i="12" l="1"/>
  <c r="B220" i="12"/>
  <c r="C220" i="11"/>
  <c r="B221" i="12" l="1"/>
  <c r="C221" i="11"/>
  <c r="B222" i="12" l="1"/>
  <c r="C220" i="12"/>
  <c r="C222" i="11"/>
  <c r="B223" i="12" l="1"/>
  <c r="C222" i="12"/>
  <c r="C223" i="11"/>
  <c r="C223" i="12" l="1"/>
  <c r="B224" i="12"/>
  <c r="C224" i="11"/>
  <c r="B225" i="12" l="1"/>
  <c r="C224" i="12"/>
  <c r="C225" i="11"/>
  <c r="C225" i="12" l="1"/>
  <c r="B226" i="12"/>
  <c r="C226" i="11"/>
  <c r="B227" i="12" l="1"/>
  <c r="C226" i="12"/>
  <c r="C227" i="11"/>
  <c r="B228" i="12" l="1"/>
  <c r="C227" i="12"/>
  <c r="C228" i="11"/>
  <c r="B229" i="12" l="1"/>
  <c r="C229" i="11"/>
  <c r="C228" i="12" l="1"/>
  <c r="B230" i="12"/>
  <c r="C230" i="11"/>
  <c r="B231" i="12" l="1"/>
  <c r="C231" i="11"/>
  <c r="B232" i="12" l="1"/>
  <c r="C230" i="12"/>
  <c r="C232" i="11"/>
  <c r="B233" i="12" l="1"/>
  <c r="C233" i="11"/>
  <c r="B234" i="12" l="1"/>
  <c r="C234" i="11"/>
  <c r="B235" i="12" l="1"/>
  <c r="C235" i="11"/>
  <c r="C234" i="12" l="1"/>
  <c r="B236" i="12"/>
  <c r="C236" i="11"/>
  <c r="C235" i="12" l="1"/>
  <c r="B237" i="12"/>
  <c r="C237" i="11"/>
  <c r="B238" i="12" l="1"/>
  <c r="C238" i="11"/>
  <c r="B239" i="12" l="1"/>
  <c r="C239" i="11"/>
  <c r="C239" i="12" l="1"/>
  <c r="B240" i="12"/>
  <c r="C240" i="11"/>
  <c r="B241" i="12" l="1"/>
  <c r="C241" i="11"/>
  <c r="C240" i="12" l="1"/>
  <c r="B242" i="12"/>
  <c r="C242" i="11"/>
  <c r="B243" i="12" l="1"/>
  <c r="C243" i="11"/>
  <c r="B244" i="12" l="1"/>
  <c r="C242" i="12"/>
  <c r="C244" i="11"/>
  <c r="B245" i="12" l="1"/>
  <c r="C245" i="11"/>
  <c r="C245" i="12" l="1"/>
  <c r="B246" i="12"/>
  <c r="C246" i="11"/>
  <c r="B247" i="12" l="1"/>
  <c r="C247" i="11"/>
  <c r="C246" i="12" l="1"/>
  <c r="B248" i="12"/>
  <c r="C248" i="11"/>
  <c r="B249" i="12" l="1"/>
  <c r="C249" i="11"/>
  <c r="B250" i="12" l="1"/>
  <c r="C250" i="11"/>
  <c r="B251" i="12" l="1"/>
  <c r="C251" i="11"/>
  <c r="B252" i="12" l="1"/>
  <c r="C252" i="11"/>
  <c r="C252" i="12" l="1"/>
  <c r="B253" i="12"/>
  <c r="C253" i="11"/>
  <c r="B254" i="12" l="1"/>
  <c r="C254" i="11"/>
  <c r="C253" i="12" l="1"/>
  <c r="B255" i="12"/>
  <c r="C255" i="11"/>
  <c r="C255" i="12" l="1"/>
  <c r="B256" i="12"/>
  <c r="C256" i="11"/>
  <c r="B257" i="12" l="1"/>
  <c r="C257" i="11"/>
  <c r="C256" i="12" l="1"/>
  <c r="B258" i="12"/>
  <c r="C258" i="11"/>
  <c r="B259" i="12" l="1"/>
  <c r="C259" i="11"/>
  <c r="B260" i="12" l="1"/>
  <c r="C258" i="12"/>
  <c r="C260" i="11"/>
  <c r="B261" i="12" l="1"/>
  <c r="C261" i="11"/>
  <c r="B262" i="12" l="1"/>
  <c r="C262" i="11"/>
  <c r="B263" i="12" l="1"/>
  <c r="C263" i="11"/>
  <c r="B264" i="12" l="1"/>
  <c r="C264" i="11"/>
  <c r="B265" i="12" l="1"/>
  <c r="C263" i="12"/>
  <c r="C265" i="11"/>
  <c r="B266" i="12" l="1"/>
  <c r="C265" i="12"/>
  <c r="C266" i="11"/>
  <c r="C266" i="12" l="1"/>
  <c r="B267" i="12"/>
  <c r="C267" i="11"/>
  <c r="B268" i="12" l="1"/>
  <c r="C268" i="11"/>
  <c r="C267" i="12" l="1"/>
  <c r="B269" i="12"/>
  <c r="C269" i="11"/>
  <c r="B270" i="12" l="1"/>
  <c r="C270" i="11"/>
  <c r="C269" i="12" l="1"/>
  <c r="B271" i="12"/>
  <c r="C271" i="11"/>
  <c r="C270" i="12" l="1"/>
  <c r="B272" i="12"/>
  <c r="C272" i="11"/>
  <c r="C271" i="12" l="1"/>
  <c r="B273" i="12"/>
  <c r="C273" i="11"/>
  <c r="B274" i="12" l="1"/>
  <c r="C274" i="11"/>
  <c r="C273" i="12" l="1"/>
  <c r="B275" i="12"/>
  <c r="C275" i="11"/>
  <c r="C274" i="12" l="1"/>
  <c r="B276" i="12"/>
  <c r="C276" i="11"/>
  <c r="B277" i="12" l="1"/>
  <c r="C275" i="12"/>
  <c r="C277" i="11"/>
  <c r="B278" i="12" l="1"/>
  <c r="C278" i="11"/>
  <c r="C277" i="12" l="1"/>
  <c r="C278" i="12"/>
  <c r="B279" i="12"/>
  <c r="C279" i="11"/>
  <c r="B280" i="12" l="1"/>
  <c r="C280" i="11"/>
  <c r="C279" i="12" l="1"/>
  <c r="B281" i="12"/>
  <c r="C281" i="11"/>
  <c r="B282" i="12" l="1"/>
  <c r="C280" i="12"/>
  <c r="C282" i="11"/>
  <c r="B283" i="12" l="1"/>
  <c r="C283" i="11"/>
  <c r="B284" i="12" l="1"/>
  <c r="C284" i="11"/>
  <c r="C283" i="12" l="1"/>
  <c r="B285" i="12"/>
  <c r="C285" i="11"/>
  <c r="B286" i="12" l="1"/>
  <c r="C286" i="11"/>
  <c r="C285" i="12" l="1"/>
  <c r="B287" i="12"/>
  <c r="C287" i="11"/>
  <c r="B288" i="12" l="1"/>
  <c r="C288" i="11"/>
  <c r="C287" i="12" l="1"/>
  <c r="B289" i="12"/>
  <c r="C289" i="11"/>
  <c r="B290" i="12" l="1"/>
  <c r="C290" i="11"/>
  <c r="C289" i="12" l="1"/>
  <c r="B291" i="12"/>
  <c r="C291" i="11"/>
  <c r="B292" i="12" l="1"/>
  <c r="C292" i="11"/>
  <c r="B293" i="12" l="1"/>
  <c r="C293" i="11"/>
  <c r="B294" i="12" l="1"/>
  <c r="C294" i="11"/>
  <c r="B295" i="12" l="1"/>
  <c r="C295" i="11"/>
  <c r="B296" i="12" l="1"/>
  <c r="C296" i="11"/>
  <c r="C295" i="12" l="1"/>
  <c r="C296" i="12"/>
  <c r="B297" i="12"/>
  <c r="C297" i="11"/>
  <c r="B298" i="12" l="1"/>
  <c r="C298" i="11"/>
  <c r="C297" i="12" l="1"/>
  <c r="B299" i="12"/>
  <c r="C299" i="11"/>
  <c r="B300" i="12" l="1"/>
  <c r="C300" i="11"/>
  <c r="C299" i="12" l="1"/>
  <c r="B301" i="12"/>
  <c r="C301" i="11"/>
  <c r="B302" i="12" l="1"/>
  <c r="C302" i="11"/>
  <c r="C301" i="12" l="1"/>
  <c r="C302" i="12"/>
  <c r="B303" i="12"/>
  <c r="C303" i="11"/>
  <c r="B304" i="12" l="1"/>
  <c r="C304" i="11"/>
  <c r="B305" i="12" l="1"/>
  <c r="C303" i="12"/>
  <c r="C305" i="11"/>
  <c r="B306" i="12" l="1"/>
  <c r="C306" i="11"/>
  <c r="C305" i="12" l="1"/>
  <c r="B307" i="12"/>
  <c r="C307" i="11"/>
  <c r="B308" i="12" l="1"/>
  <c r="C306" i="12"/>
  <c r="C308" i="11"/>
  <c r="B309" i="12" l="1"/>
  <c r="C309" i="11"/>
  <c r="C308" i="12" l="1"/>
  <c r="B310" i="12"/>
  <c r="C309" i="12"/>
  <c r="C310" i="11"/>
  <c r="C310" i="12" l="1"/>
  <c r="B311" i="12"/>
  <c r="C311" i="11"/>
  <c r="B312" i="12" l="1"/>
  <c r="C312" i="11"/>
  <c r="B313" i="12" l="1"/>
  <c r="C311" i="12"/>
  <c r="C313" i="11"/>
  <c r="B314" i="12" l="1"/>
  <c r="C314" i="11"/>
  <c r="C314" i="12" l="1"/>
  <c r="B315" i="12"/>
  <c r="C315" i="11"/>
  <c r="B316" i="12" l="1"/>
  <c r="C316" i="11"/>
  <c r="B317" i="12" l="1"/>
  <c r="C315" i="12"/>
  <c r="C317" i="11"/>
  <c r="C317" i="12" l="1"/>
  <c r="B318" i="12"/>
  <c r="C318" i="11"/>
  <c r="B319" i="12" l="1"/>
  <c r="C319" i="11"/>
  <c r="C318" i="12" l="1"/>
  <c r="B320" i="12"/>
  <c r="C320" i="11"/>
  <c r="C319" i="12" l="1"/>
  <c r="C320" i="12"/>
  <c r="B321" i="12"/>
  <c r="C321" i="11"/>
  <c r="B322" i="12" l="1"/>
  <c r="C322" i="11"/>
  <c r="B323" i="12" l="1"/>
  <c r="C321" i="12"/>
  <c r="C323" i="11"/>
  <c r="B324" i="12" l="1"/>
  <c r="C324" i="11"/>
  <c r="B325" i="12" l="1"/>
  <c r="C325" i="11"/>
  <c r="B326" i="12" l="1"/>
  <c r="C324" i="12"/>
  <c r="C326" i="11"/>
  <c r="B327" i="12" l="1"/>
  <c r="C327" i="11"/>
  <c r="B328" i="12" l="1"/>
  <c r="C328" i="11"/>
  <c r="B329" i="12" l="1"/>
  <c r="C329" i="11"/>
  <c r="B330" i="12" l="1"/>
  <c r="C330" i="11"/>
  <c r="B331" i="12" l="1"/>
  <c r="C331" i="11"/>
  <c r="B332" i="12" l="1"/>
  <c r="C332" i="11"/>
  <c r="C331" i="12" l="1"/>
  <c r="B333" i="12"/>
  <c r="C333" i="11"/>
  <c r="C332" i="12" l="1"/>
  <c r="B334" i="12"/>
  <c r="C334" i="11"/>
  <c r="C333" i="12" l="1"/>
  <c r="B335" i="12"/>
  <c r="C335" i="11"/>
  <c r="B336" i="12" l="1"/>
  <c r="C336" i="11"/>
  <c r="C335" i="12" l="1"/>
  <c r="B337" i="12"/>
  <c r="C337" i="11"/>
  <c r="C336" i="12" l="1"/>
  <c r="B338" i="12"/>
  <c r="C337" i="12"/>
  <c r="C338" i="11"/>
  <c r="C338" i="12" l="1"/>
  <c r="B339" i="12"/>
  <c r="C339" i="11"/>
  <c r="B340" i="12" l="1"/>
  <c r="C340" i="11"/>
  <c r="C339" i="12" l="1"/>
  <c r="B341" i="12"/>
  <c r="C341" i="11"/>
  <c r="C340" i="12" l="1"/>
  <c r="B342" i="12"/>
  <c r="C342" i="11"/>
  <c r="B343" i="12" l="1"/>
  <c r="C341" i="12"/>
  <c r="C343" i="11"/>
  <c r="B344" i="12" l="1"/>
  <c r="C344" i="11"/>
  <c r="B345" i="12" l="1"/>
  <c r="C345" i="11"/>
  <c r="B346" i="12" l="1"/>
  <c r="C346" i="11"/>
  <c r="B347" i="12" l="1"/>
  <c r="C345" i="12"/>
  <c r="C347" i="11"/>
  <c r="B348" i="12" l="1"/>
  <c r="C348" i="11"/>
  <c r="B349" i="12" l="1"/>
  <c r="C349" i="11"/>
  <c r="B350" i="12" l="1"/>
  <c r="C348" i="12"/>
  <c r="C350" i="11"/>
  <c r="B351" i="12" l="1"/>
  <c r="C351" i="11"/>
  <c r="B352" i="12" l="1"/>
  <c r="C352" i="11"/>
  <c r="C351" i="12" l="1"/>
  <c r="B353" i="12"/>
  <c r="C353" i="11"/>
  <c r="B354" i="12" l="1"/>
  <c r="C354" i="11"/>
  <c r="C353" i="12" l="1"/>
  <c r="B355" i="12"/>
  <c r="C355" i="11"/>
  <c r="B356" i="12" l="1"/>
  <c r="C356" i="11"/>
  <c r="C355" i="12" l="1"/>
  <c r="B357" i="12"/>
  <c r="C357" i="11"/>
  <c r="C356" i="12" l="1"/>
  <c r="B358" i="12"/>
  <c r="C358" i="11"/>
  <c r="B359" i="12" l="1"/>
  <c r="C357" i="12"/>
  <c r="C359" i="11"/>
  <c r="B360" i="12" l="1"/>
  <c r="C360" i="11"/>
  <c r="B361" i="12" l="1"/>
  <c r="C361" i="11"/>
  <c r="B362" i="12" l="1"/>
  <c r="C362" i="11"/>
  <c r="C362" i="12" l="1"/>
  <c r="B363" i="12"/>
  <c r="C363" i="11"/>
  <c r="B364" i="12" l="1"/>
  <c r="C364" i="11"/>
  <c r="C363" i="12" l="1"/>
  <c r="B365" i="12"/>
  <c r="C365" i="11"/>
  <c r="C364" i="12" l="1"/>
  <c r="B366" i="12"/>
  <c r="C366" i="11"/>
  <c r="B367" i="12" l="1"/>
  <c r="C365" i="12"/>
  <c r="C367" i="11"/>
  <c r="B368" i="12" l="1"/>
  <c r="C368" i="11"/>
  <c r="C367" i="12" l="1"/>
  <c r="B369" i="12"/>
  <c r="C369" i="11"/>
  <c r="C368" i="12" l="1"/>
  <c r="B370" i="12"/>
  <c r="C370" i="11"/>
  <c r="B371" i="12" l="1"/>
  <c r="C369" i="12"/>
  <c r="C371" i="11"/>
  <c r="B372" i="12" l="1"/>
  <c r="C372" i="11"/>
  <c r="B373" i="12" l="1"/>
  <c r="C373" i="11"/>
  <c r="B374" i="12" l="1"/>
  <c r="C374" i="11"/>
  <c r="C373" i="12" l="1"/>
  <c r="E34" i="5" l="1"/>
  <c r="Q34" i="5" s="1"/>
  <c r="D51" i="2"/>
  <c r="F7" i="5"/>
  <c r="F43" i="5" s="1"/>
  <c r="D49" i="5"/>
  <c r="L22" i="2"/>
  <c r="D39" i="2"/>
  <c r="D40" i="2" s="1"/>
  <c r="C40" i="2"/>
  <c r="G7" i="6"/>
  <c r="D26" i="5"/>
  <c r="D16" i="5"/>
  <c r="H15" i="2"/>
  <c r="B17" i="1"/>
  <c r="B18" i="1" s="1"/>
  <c r="B19" i="1" s="1"/>
  <c r="B20" i="1" s="1"/>
  <c r="B21" i="1" s="1"/>
  <c r="B22" i="1" s="1"/>
  <c r="D30" i="2" l="1"/>
  <c r="L30" i="2"/>
  <c r="H7" i="6"/>
  <c r="I7" i="6" s="1"/>
  <c r="J7" i="6" s="1"/>
  <c r="K7" i="6" s="1"/>
  <c r="L7" i="6" s="1"/>
  <c r="M7" i="6" s="1"/>
  <c r="N7" i="6" s="1"/>
  <c r="O7" i="6" s="1"/>
  <c r="P7" i="6" s="1"/>
  <c r="Q7" i="6" s="1"/>
  <c r="R7" i="6" s="1"/>
  <c r="S7" i="6" s="1"/>
  <c r="T7" i="6" s="1"/>
  <c r="D47" i="2"/>
  <c r="D29" i="5"/>
  <c r="D37" i="5" s="1"/>
  <c r="L23" i="2"/>
  <c r="G7" i="5"/>
  <c r="G43" i="5" s="1"/>
  <c r="H21" i="2"/>
  <c r="G11" i="6" l="1"/>
  <c r="D31" i="2"/>
  <c r="I12" i="5"/>
  <c r="J12" i="5"/>
  <c r="P12" i="5"/>
  <c r="F12" i="5"/>
  <c r="K12" i="5"/>
  <c r="K38" i="2"/>
  <c r="M38" i="2" s="1"/>
  <c r="G12" i="5"/>
  <c r="L12" i="5"/>
  <c r="L13" i="5" s="1"/>
  <c r="M12" i="5"/>
  <c r="E12" i="5"/>
  <c r="N12" i="5"/>
  <c r="O12" i="5"/>
  <c r="H12" i="5"/>
  <c r="D27" i="2"/>
  <c r="M24" i="2"/>
  <c r="M30" i="2"/>
  <c r="M27" i="2"/>
  <c r="M22" i="2"/>
  <c r="M31" i="2"/>
  <c r="F9" i="5"/>
  <c r="H36" i="2"/>
  <c r="M23" i="2"/>
  <c r="H24" i="2"/>
  <c r="H7" i="5"/>
  <c r="H43" i="5" s="1"/>
  <c r="H23" i="2"/>
  <c r="L29" i="2"/>
  <c r="M29" i="2" s="1"/>
  <c r="Q12" i="5" l="1"/>
  <c r="K13" i="2"/>
  <c r="K14" i="2"/>
  <c r="K8" i="2"/>
  <c r="L8" i="2" s="1"/>
  <c r="G16" i="6" s="1"/>
  <c r="K10" i="2"/>
  <c r="K9" i="2"/>
  <c r="K11" i="2"/>
  <c r="K12" i="2"/>
  <c r="H13" i="5"/>
  <c r="M13" i="5"/>
  <c r="K13" i="5"/>
  <c r="N13" i="5"/>
  <c r="J13" i="5"/>
  <c r="I13" i="5"/>
  <c r="F13" i="5"/>
  <c r="E13" i="5"/>
  <c r="P13" i="5"/>
  <c r="O13" i="5"/>
  <c r="G13" i="5"/>
  <c r="G12" i="6"/>
  <c r="G13" i="6" s="1"/>
  <c r="G9" i="5"/>
  <c r="D53" i="5"/>
  <c r="E42" i="5" s="1"/>
  <c r="E6" i="12"/>
  <c r="I7" i="5"/>
  <c r="I43" i="5" s="1"/>
  <c r="Q13" i="5" l="1"/>
  <c r="K15" i="2"/>
  <c r="L15" i="2" s="1"/>
  <c r="E23" i="5"/>
  <c r="F23" i="5"/>
  <c r="G23" i="5"/>
  <c r="H23" i="5"/>
  <c r="O23" i="5"/>
  <c r="I23" i="5"/>
  <c r="N23" i="5"/>
  <c r="J23" i="5"/>
  <c r="K23" i="5"/>
  <c r="L23" i="5"/>
  <c r="M23" i="5"/>
  <c r="P23" i="5"/>
  <c r="L12" i="2"/>
  <c r="G20" i="6" s="1"/>
  <c r="F22" i="5"/>
  <c r="G22" i="5"/>
  <c r="K22" i="5"/>
  <c r="H22" i="5"/>
  <c r="E22" i="5"/>
  <c r="L22" i="5"/>
  <c r="N22" i="5"/>
  <c r="I22" i="5"/>
  <c r="J22" i="5"/>
  <c r="M22" i="5"/>
  <c r="O22" i="5"/>
  <c r="P22" i="5"/>
  <c r="L11" i="2"/>
  <c r="G19" i="6" s="1"/>
  <c r="E20" i="5"/>
  <c r="O20" i="5"/>
  <c r="L20" i="5"/>
  <c r="P20" i="5"/>
  <c r="K20" i="5"/>
  <c r="F20" i="5"/>
  <c r="I20" i="5"/>
  <c r="J20" i="5"/>
  <c r="G20" i="5"/>
  <c r="H20" i="5"/>
  <c r="M20" i="5"/>
  <c r="N20" i="5"/>
  <c r="L9" i="2"/>
  <c r="G17" i="6" s="1"/>
  <c r="E24" i="5"/>
  <c r="G24" i="5"/>
  <c r="M24" i="5"/>
  <c r="O24" i="5"/>
  <c r="H24" i="5"/>
  <c r="I24" i="5"/>
  <c r="J24" i="5"/>
  <c r="K24" i="5"/>
  <c r="N24" i="5"/>
  <c r="L24" i="5"/>
  <c r="P24" i="5"/>
  <c r="F24" i="5"/>
  <c r="L13" i="2"/>
  <c r="G21" i="6" s="1"/>
  <c r="E21" i="5"/>
  <c r="P21" i="5"/>
  <c r="K21" i="5"/>
  <c r="M21" i="5"/>
  <c r="F21" i="5"/>
  <c r="G21" i="5"/>
  <c r="H21" i="5"/>
  <c r="L21" i="5"/>
  <c r="I21" i="5"/>
  <c r="J21" i="5"/>
  <c r="N21" i="5"/>
  <c r="O21" i="5"/>
  <c r="L10" i="2"/>
  <c r="G18" i="6" s="1"/>
  <c r="E19" i="5"/>
  <c r="N19" i="5"/>
  <c r="O19" i="5"/>
  <c r="H19" i="5"/>
  <c r="P19" i="5"/>
  <c r="J19" i="5"/>
  <c r="K19" i="5"/>
  <c r="F19" i="5"/>
  <c r="I19" i="5"/>
  <c r="G19" i="5"/>
  <c r="L19" i="5"/>
  <c r="M19" i="5"/>
  <c r="E25" i="5"/>
  <c r="H25" i="5"/>
  <c r="I25" i="5"/>
  <c r="P25" i="5"/>
  <c r="J25" i="5"/>
  <c r="O25" i="5"/>
  <c r="K25" i="5"/>
  <c r="L25" i="5"/>
  <c r="M25" i="5"/>
  <c r="N25" i="5"/>
  <c r="F25" i="5"/>
  <c r="G25" i="5"/>
  <c r="L14" i="2"/>
  <c r="H11" i="6"/>
  <c r="I11" i="6" s="1"/>
  <c r="I12" i="6" s="1"/>
  <c r="I13" i="6" s="1"/>
  <c r="E16" i="12"/>
  <c r="E148" i="12"/>
  <c r="E268" i="12"/>
  <c r="E352" i="12"/>
  <c r="E173" i="12"/>
  <c r="E257" i="12"/>
  <c r="E341" i="12"/>
  <c r="J341" i="12" s="1"/>
  <c r="E210" i="12"/>
  <c r="J210" i="12" s="1"/>
  <c r="E282" i="12"/>
  <c r="E354" i="12"/>
  <c r="E67" i="12"/>
  <c r="E175" i="12"/>
  <c r="E235" i="12"/>
  <c r="J235" i="12" s="1"/>
  <c r="E343" i="12"/>
  <c r="E17" i="12"/>
  <c r="E29" i="12"/>
  <c r="E41" i="12"/>
  <c r="E53" i="12"/>
  <c r="E65" i="12"/>
  <c r="E77" i="12"/>
  <c r="E89" i="12"/>
  <c r="E125" i="12"/>
  <c r="E161" i="12"/>
  <c r="E221" i="12"/>
  <c r="E293" i="12"/>
  <c r="E365" i="12"/>
  <c r="J365" i="12" s="1"/>
  <c r="E234" i="12"/>
  <c r="J234" i="12" s="1"/>
  <c r="G234" i="12" s="1"/>
  <c r="I234" i="12" s="1"/>
  <c r="E342" i="12"/>
  <c r="E79" i="12"/>
  <c r="E151" i="12"/>
  <c r="E247" i="12"/>
  <c r="E331" i="12"/>
  <c r="J331" i="12" s="1"/>
  <c r="G331" i="12" s="1"/>
  <c r="I331" i="12" s="1"/>
  <c r="E18" i="12"/>
  <c r="E30" i="12"/>
  <c r="E42" i="12"/>
  <c r="E54" i="12"/>
  <c r="E66" i="12"/>
  <c r="E78" i="12"/>
  <c r="E90" i="12"/>
  <c r="E102" i="12"/>
  <c r="E114" i="12"/>
  <c r="E126" i="12"/>
  <c r="E138" i="12"/>
  <c r="E150" i="12"/>
  <c r="E162" i="12"/>
  <c r="E222" i="12"/>
  <c r="J222" i="12" s="1"/>
  <c r="G222" i="12" s="1"/>
  <c r="I222" i="12" s="1"/>
  <c r="E306" i="12"/>
  <c r="J306" i="12" s="1"/>
  <c r="E91" i="12"/>
  <c r="E163" i="12"/>
  <c r="E259" i="12"/>
  <c r="E319" i="12"/>
  <c r="J319" i="12" s="1"/>
  <c r="G319" i="12" s="1"/>
  <c r="I319" i="12" s="1"/>
  <c r="E19" i="12"/>
  <c r="E20" i="12"/>
  <c r="E32" i="12"/>
  <c r="E44" i="12"/>
  <c r="E56" i="12"/>
  <c r="E68" i="12"/>
  <c r="E21" i="12"/>
  <c r="E33" i="12"/>
  <c r="E45" i="12"/>
  <c r="E57" i="12"/>
  <c r="E22" i="12"/>
  <c r="E34" i="12"/>
  <c r="E46" i="12"/>
  <c r="E58" i="12"/>
  <c r="E70" i="12"/>
  <c r="E82" i="12"/>
  <c r="E94" i="12"/>
  <c r="E106" i="12"/>
  <c r="E118" i="12"/>
  <c r="E130" i="12"/>
  <c r="E142" i="12"/>
  <c r="E154" i="12"/>
  <c r="E166" i="12"/>
  <c r="E178" i="12"/>
  <c r="E190" i="12"/>
  <c r="E202" i="12"/>
  <c r="J202" i="12" s="1"/>
  <c r="G202" i="12" s="1"/>
  <c r="I202" i="12" s="1"/>
  <c r="E214" i="12"/>
  <c r="E226" i="12"/>
  <c r="J226" i="12" s="1"/>
  <c r="G226" i="12" s="1"/>
  <c r="I226" i="12" s="1"/>
  <c r="E238" i="12"/>
  <c r="E250" i="12"/>
  <c r="E262" i="12"/>
  <c r="E274" i="12"/>
  <c r="J274" i="12" s="1"/>
  <c r="G274" i="12" s="1"/>
  <c r="I274" i="12" s="1"/>
  <c r="E286" i="12"/>
  <c r="E298" i="12"/>
  <c r="E310" i="12"/>
  <c r="J310" i="12" s="1"/>
  <c r="G310" i="12" s="1"/>
  <c r="I310" i="12" s="1"/>
  <c r="E322" i="12"/>
  <c r="E334" i="12"/>
  <c r="E346" i="12"/>
  <c r="E358" i="12"/>
  <c r="E370" i="12"/>
  <c r="E49" i="12"/>
  <c r="E85" i="12"/>
  <c r="E133" i="12"/>
  <c r="E181" i="12"/>
  <c r="E217" i="12"/>
  <c r="E253" i="12"/>
  <c r="J253" i="12" s="1"/>
  <c r="E301" i="12"/>
  <c r="J301" i="12" s="1"/>
  <c r="G301" i="12" s="1"/>
  <c r="I301" i="12" s="1"/>
  <c r="E337" i="12"/>
  <c r="J337" i="12" s="1"/>
  <c r="G337" i="12" s="1"/>
  <c r="I337" i="12" s="1"/>
  <c r="E38" i="12"/>
  <c r="E74" i="12"/>
  <c r="E110" i="12"/>
  <c r="E146" i="12"/>
  <c r="E182" i="12"/>
  <c r="E194" i="12"/>
  <c r="E230" i="12"/>
  <c r="J230" i="12" s="1"/>
  <c r="E254" i="12"/>
  <c r="E302" i="12"/>
  <c r="J302" i="12" s="1"/>
  <c r="G302" i="12" s="1"/>
  <c r="I302" i="12" s="1"/>
  <c r="E326" i="12"/>
  <c r="E362" i="12"/>
  <c r="J362" i="12" s="1"/>
  <c r="G362" i="12" s="1"/>
  <c r="I362" i="12" s="1"/>
  <c r="E39" i="12"/>
  <c r="E99" i="12"/>
  <c r="E135" i="12"/>
  <c r="E171" i="12"/>
  <c r="E207" i="12"/>
  <c r="J207" i="12" s="1"/>
  <c r="G207" i="12" s="1"/>
  <c r="I207" i="12" s="1"/>
  <c r="E255" i="12"/>
  <c r="J255" i="12" s="1"/>
  <c r="G255" i="12" s="1"/>
  <c r="I255" i="12" s="1"/>
  <c r="E291" i="12"/>
  <c r="E327" i="12"/>
  <c r="E363" i="12"/>
  <c r="J363" i="12" s="1"/>
  <c r="G363" i="12" s="1"/>
  <c r="I363" i="12" s="1"/>
  <c r="E40" i="12"/>
  <c r="E88" i="12"/>
  <c r="E124" i="12"/>
  <c r="E172" i="12"/>
  <c r="E208" i="12"/>
  <c r="J208" i="12" s="1"/>
  <c r="E256" i="12"/>
  <c r="J256" i="12" s="1"/>
  <c r="E304" i="12"/>
  <c r="E340" i="12"/>
  <c r="J340" i="12" s="1"/>
  <c r="G340" i="12" s="1"/>
  <c r="I340" i="12" s="1"/>
  <c r="E113" i="12"/>
  <c r="E185" i="12"/>
  <c r="E233" i="12"/>
  <c r="E281" i="12"/>
  <c r="E329" i="12"/>
  <c r="E186" i="12"/>
  <c r="E246" i="12"/>
  <c r="J246" i="12" s="1"/>
  <c r="E294" i="12"/>
  <c r="E366" i="12"/>
  <c r="E55" i="12"/>
  <c r="E127" i="12"/>
  <c r="E199" i="12"/>
  <c r="J199" i="12" s="1"/>
  <c r="G199" i="12" s="1"/>
  <c r="I199" i="12" s="1"/>
  <c r="E271" i="12"/>
  <c r="J271" i="12" s="1"/>
  <c r="E307" i="12"/>
  <c r="E23" i="12"/>
  <c r="E35" i="12"/>
  <c r="E47" i="12"/>
  <c r="E59" i="12"/>
  <c r="E71" i="12"/>
  <c r="E83" i="12"/>
  <c r="E95" i="12"/>
  <c r="E107" i="12"/>
  <c r="E119" i="12"/>
  <c r="E131" i="12"/>
  <c r="E143" i="12"/>
  <c r="E155" i="12"/>
  <c r="E167" i="12"/>
  <c r="E179" i="12"/>
  <c r="E191" i="12"/>
  <c r="E203" i="12"/>
  <c r="J203" i="12" s="1"/>
  <c r="G203" i="12" s="1"/>
  <c r="I203" i="12" s="1"/>
  <c r="E215" i="12"/>
  <c r="E227" i="12"/>
  <c r="J227" i="12" s="1"/>
  <c r="G227" i="12" s="1"/>
  <c r="I227" i="12" s="1"/>
  <c r="E239" i="12"/>
  <c r="J239" i="12" s="1"/>
  <c r="G239" i="12" s="1"/>
  <c r="I239" i="12" s="1"/>
  <c r="E251" i="12"/>
  <c r="E263" i="12"/>
  <c r="J263" i="12" s="1"/>
  <c r="E275" i="12"/>
  <c r="J275" i="12" s="1"/>
  <c r="E287" i="12"/>
  <c r="J287" i="12" s="1"/>
  <c r="E299" i="12"/>
  <c r="J299" i="12" s="1"/>
  <c r="E311" i="12"/>
  <c r="J311" i="12" s="1"/>
  <c r="E323" i="12"/>
  <c r="E335" i="12"/>
  <c r="J335" i="12" s="1"/>
  <c r="G335" i="12" s="1"/>
  <c r="I335" i="12" s="1"/>
  <c r="E347" i="12"/>
  <c r="E359" i="12"/>
  <c r="E371" i="12"/>
  <c r="E37" i="12"/>
  <c r="E61" i="12"/>
  <c r="E97" i="12"/>
  <c r="E145" i="12"/>
  <c r="E169" i="12"/>
  <c r="E205" i="12"/>
  <c r="E241" i="12"/>
  <c r="E277" i="12"/>
  <c r="J277" i="12" s="1"/>
  <c r="G277" i="12" s="1"/>
  <c r="I277" i="12" s="1"/>
  <c r="E313" i="12"/>
  <c r="E349" i="12"/>
  <c r="E373" i="12"/>
  <c r="J373" i="12" s="1"/>
  <c r="E50" i="12"/>
  <c r="E62" i="12"/>
  <c r="E98" i="12"/>
  <c r="E134" i="12"/>
  <c r="E170" i="12"/>
  <c r="E218" i="12"/>
  <c r="J218" i="12" s="1"/>
  <c r="E266" i="12"/>
  <c r="J266" i="12" s="1"/>
  <c r="G266" i="12" s="1"/>
  <c r="I266" i="12" s="1"/>
  <c r="E290" i="12"/>
  <c r="E338" i="12"/>
  <c r="J338" i="12" s="1"/>
  <c r="G338" i="12" s="1"/>
  <c r="I338" i="12" s="1"/>
  <c r="E374" i="12"/>
  <c r="E51" i="12"/>
  <c r="E63" i="12"/>
  <c r="E87" i="12"/>
  <c r="E123" i="12"/>
  <c r="E159" i="12"/>
  <c r="E183" i="12"/>
  <c r="E219" i="12"/>
  <c r="E243" i="12"/>
  <c r="E279" i="12"/>
  <c r="J279" i="12" s="1"/>
  <c r="G279" i="12" s="1"/>
  <c r="I279" i="12" s="1"/>
  <c r="E315" i="12"/>
  <c r="J315" i="12" s="1"/>
  <c r="E351" i="12"/>
  <c r="J351" i="12" s="1"/>
  <c r="E28" i="12"/>
  <c r="E64" i="12"/>
  <c r="E76" i="12"/>
  <c r="E112" i="12"/>
  <c r="E160" i="12"/>
  <c r="E196" i="12"/>
  <c r="E232" i="12"/>
  <c r="E280" i="12"/>
  <c r="J280" i="12" s="1"/>
  <c r="E316" i="12"/>
  <c r="E364" i="12"/>
  <c r="J364" i="12" s="1"/>
  <c r="G364" i="12" s="1"/>
  <c r="I364" i="12" s="1"/>
  <c r="E137" i="12"/>
  <c r="E197" i="12"/>
  <c r="J197" i="12" s="1"/>
  <c r="E245" i="12"/>
  <c r="J245" i="12" s="1"/>
  <c r="G245" i="12" s="1"/>
  <c r="I245" i="12" s="1"/>
  <c r="E269" i="12"/>
  <c r="J269" i="12" s="1"/>
  <c r="G269" i="12" s="1"/>
  <c r="I269" i="12" s="1"/>
  <c r="E317" i="12"/>
  <c r="J317" i="12" s="1"/>
  <c r="G317" i="12" s="1"/>
  <c r="I317" i="12" s="1"/>
  <c r="E198" i="12"/>
  <c r="E258" i="12"/>
  <c r="J258" i="12" s="1"/>
  <c r="E318" i="12"/>
  <c r="J318" i="12" s="1"/>
  <c r="G318" i="12" s="1"/>
  <c r="I318" i="12" s="1"/>
  <c r="E43" i="12"/>
  <c r="E103" i="12"/>
  <c r="E139" i="12"/>
  <c r="E211" i="12"/>
  <c r="E283" i="12"/>
  <c r="J283" i="12" s="1"/>
  <c r="E24" i="12"/>
  <c r="E36" i="12"/>
  <c r="E48" i="12"/>
  <c r="E60" i="12"/>
  <c r="E72" i="12"/>
  <c r="E84" i="12"/>
  <c r="E96" i="12"/>
  <c r="E108" i="12"/>
  <c r="E120" i="12"/>
  <c r="E132" i="12"/>
  <c r="E144" i="12"/>
  <c r="E156" i="12"/>
  <c r="E168" i="12"/>
  <c r="E180" i="12"/>
  <c r="E192" i="12"/>
  <c r="E204" i="12"/>
  <c r="J204" i="12" s="1"/>
  <c r="E216" i="12"/>
  <c r="J216" i="12" s="1"/>
  <c r="E228" i="12"/>
  <c r="J228" i="12" s="1"/>
  <c r="E240" i="12"/>
  <c r="J240" i="12" s="1"/>
  <c r="E252" i="12"/>
  <c r="J252" i="12" s="1"/>
  <c r="G252" i="12" s="1"/>
  <c r="I252" i="12" s="1"/>
  <c r="E264" i="12"/>
  <c r="E276" i="12"/>
  <c r="E288" i="12"/>
  <c r="E300" i="12"/>
  <c r="E312" i="12"/>
  <c r="E324" i="12"/>
  <c r="J324" i="12" s="1"/>
  <c r="E336" i="12"/>
  <c r="J336" i="12" s="1"/>
  <c r="G336" i="12" s="1"/>
  <c r="I336" i="12" s="1"/>
  <c r="E348" i="12"/>
  <c r="J348" i="12" s="1"/>
  <c r="E360" i="12"/>
  <c r="E372" i="12"/>
  <c r="E25" i="12"/>
  <c r="E73" i="12"/>
  <c r="E109" i="12"/>
  <c r="E121" i="12"/>
  <c r="E157" i="12"/>
  <c r="E193" i="12"/>
  <c r="E229" i="12"/>
  <c r="E265" i="12"/>
  <c r="J265" i="12" s="1"/>
  <c r="G265" i="12" s="1"/>
  <c r="I265" i="12" s="1"/>
  <c r="E289" i="12"/>
  <c r="J289" i="12" s="1"/>
  <c r="E325" i="12"/>
  <c r="E361" i="12"/>
  <c r="E26" i="12"/>
  <c r="E86" i="12"/>
  <c r="E122" i="12"/>
  <c r="E158" i="12"/>
  <c r="E206" i="12"/>
  <c r="J206" i="12" s="1"/>
  <c r="G206" i="12" s="1"/>
  <c r="I206" i="12" s="1"/>
  <c r="E242" i="12"/>
  <c r="J242" i="12" s="1"/>
  <c r="E278" i="12"/>
  <c r="J278" i="12" s="1"/>
  <c r="G278" i="12" s="1"/>
  <c r="I278" i="12" s="1"/>
  <c r="E314" i="12"/>
  <c r="J314" i="12" s="1"/>
  <c r="G314" i="12" s="1"/>
  <c r="I314" i="12" s="1"/>
  <c r="E350" i="12"/>
  <c r="E27" i="12"/>
  <c r="E75" i="12"/>
  <c r="E111" i="12"/>
  <c r="E147" i="12"/>
  <c r="E195" i="12"/>
  <c r="J195" i="12" s="1"/>
  <c r="E231" i="12"/>
  <c r="E267" i="12"/>
  <c r="J267" i="12" s="1"/>
  <c r="E303" i="12"/>
  <c r="J303" i="12" s="1"/>
  <c r="E339" i="12"/>
  <c r="J339" i="12" s="1"/>
  <c r="G339" i="12" s="1"/>
  <c r="I339" i="12" s="1"/>
  <c r="E15" i="12"/>
  <c r="E52" i="12"/>
  <c r="E100" i="12"/>
  <c r="E136" i="12"/>
  <c r="E184" i="12"/>
  <c r="E220" i="12"/>
  <c r="J220" i="12" s="1"/>
  <c r="E244" i="12"/>
  <c r="E292" i="12"/>
  <c r="E328" i="12"/>
  <c r="E101" i="12"/>
  <c r="E149" i="12"/>
  <c r="E209" i="12"/>
  <c r="E305" i="12"/>
  <c r="J305" i="12" s="1"/>
  <c r="G305" i="12" s="1"/>
  <c r="I305" i="12" s="1"/>
  <c r="E353" i="12"/>
  <c r="J353" i="12" s="1"/>
  <c r="E174" i="12"/>
  <c r="E270" i="12"/>
  <c r="J270" i="12" s="1"/>
  <c r="G270" i="12" s="1"/>
  <c r="I270" i="12" s="1"/>
  <c r="E330" i="12"/>
  <c r="E31" i="12"/>
  <c r="E115" i="12"/>
  <c r="E187" i="12"/>
  <c r="E223" i="12"/>
  <c r="J223" i="12" s="1"/>
  <c r="G223" i="12" s="1"/>
  <c r="I223" i="12" s="1"/>
  <c r="E295" i="12"/>
  <c r="J295" i="12" s="1"/>
  <c r="G295" i="12" s="1"/>
  <c r="I295" i="12" s="1"/>
  <c r="E355" i="12"/>
  <c r="J355" i="12" s="1"/>
  <c r="G355" i="12" s="1"/>
  <c r="I355" i="12" s="1"/>
  <c r="E93" i="12"/>
  <c r="E165" i="12"/>
  <c r="E237" i="12"/>
  <c r="E309" i="12"/>
  <c r="J309" i="12" s="1"/>
  <c r="G309" i="12" s="1"/>
  <c r="I309" i="12" s="1"/>
  <c r="E104" i="12"/>
  <c r="E176" i="12"/>
  <c r="E248" i="12"/>
  <c r="E320" i="12"/>
  <c r="J320" i="12" s="1"/>
  <c r="G320" i="12" s="1"/>
  <c r="I320" i="12" s="1"/>
  <c r="E116" i="12"/>
  <c r="E117" i="12"/>
  <c r="E333" i="12"/>
  <c r="J333" i="12" s="1"/>
  <c r="E200" i="12"/>
  <c r="J200" i="12" s="1"/>
  <c r="G200" i="12" s="1"/>
  <c r="I200" i="12" s="1"/>
  <c r="E344" i="12"/>
  <c r="E201" i="12"/>
  <c r="J201" i="12" s="1"/>
  <c r="G201" i="12" s="1"/>
  <c r="I201" i="12" s="1"/>
  <c r="E345" i="12"/>
  <c r="J345" i="12" s="1"/>
  <c r="E212" i="12"/>
  <c r="E356" i="12"/>
  <c r="J356" i="12" s="1"/>
  <c r="G356" i="12" s="1"/>
  <c r="I356" i="12" s="1"/>
  <c r="E213" i="12"/>
  <c r="E357" i="12"/>
  <c r="J357" i="12" s="1"/>
  <c r="E224" i="12"/>
  <c r="J224" i="12" s="1"/>
  <c r="G224" i="12" s="1"/>
  <c r="I224" i="12" s="1"/>
  <c r="E81" i="12"/>
  <c r="E236" i="12"/>
  <c r="E369" i="12"/>
  <c r="J369" i="12" s="1"/>
  <c r="E188" i="12"/>
  <c r="E189" i="12"/>
  <c r="E128" i="12"/>
  <c r="E272" i="12"/>
  <c r="E129" i="12"/>
  <c r="E273" i="12"/>
  <c r="J273" i="12" s="1"/>
  <c r="G273" i="12" s="1"/>
  <c r="I273" i="12" s="1"/>
  <c r="E140" i="12"/>
  <c r="E284" i="12"/>
  <c r="E141" i="12"/>
  <c r="E285" i="12"/>
  <c r="J285" i="12" s="1"/>
  <c r="E80" i="12"/>
  <c r="E296" i="12"/>
  <c r="J296" i="12" s="1"/>
  <c r="G296" i="12" s="1"/>
  <c r="I296" i="12" s="1"/>
  <c r="E225" i="12"/>
  <c r="J225" i="12" s="1"/>
  <c r="G225" i="12" s="1"/>
  <c r="I225" i="12" s="1"/>
  <c r="E297" i="12"/>
  <c r="J297" i="12" s="1"/>
  <c r="E92" i="12"/>
  <c r="E105" i="12"/>
  <c r="E177" i="12"/>
  <c r="E249" i="12"/>
  <c r="E321" i="12"/>
  <c r="J321" i="12" s="1"/>
  <c r="E260" i="12"/>
  <c r="E332" i="12"/>
  <c r="J332" i="12" s="1"/>
  <c r="G332" i="12" s="1"/>
  <c r="I332" i="12" s="1"/>
  <c r="E261" i="12"/>
  <c r="E69" i="12"/>
  <c r="E152" i="12"/>
  <c r="E367" i="12"/>
  <c r="J367" i="12" s="1"/>
  <c r="G367" i="12" s="1"/>
  <c r="I367" i="12" s="1"/>
  <c r="E153" i="12"/>
  <c r="E368" i="12"/>
  <c r="J368" i="12" s="1"/>
  <c r="G368" i="12" s="1"/>
  <c r="I368" i="12" s="1"/>
  <c r="E164" i="12"/>
  <c r="E308" i="12"/>
  <c r="J308" i="12" s="1"/>
  <c r="G308" i="12" s="1"/>
  <c r="I308" i="12" s="1"/>
  <c r="E45" i="5"/>
  <c r="H9" i="5"/>
  <c r="C15" i="12"/>
  <c r="J7" i="5"/>
  <c r="J43" i="5" s="1"/>
  <c r="G22" i="6" l="1"/>
  <c r="N22" i="6"/>
  <c r="Q22" i="6"/>
  <c r="O22" i="6"/>
  <c r="P22" i="6"/>
  <c r="H22" i="6"/>
  <c r="T22" i="6"/>
  <c r="I22" i="6"/>
  <c r="M22" i="6"/>
  <c r="J22" i="6"/>
  <c r="R22" i="6"/>
  <c r="S22" i="6"/>
  <c r="K22" i="6"/>
  <c r="L22" i="6"/>
  <c r="Q25" i="5"/>
  <c r="J11" i="6"/>
  <c r="J12" i="6" s="1"/>
  <c r="J13" i="6" s="1"/>
  <c r="Q23" i="5"/>
  <c r="Q19" i="5"/>
  <c r="Q22" i="5"/>
  <c r="Q21" i="5"/>
  <c r="Q24" i="5"/>
  <c r="Q20" i="5"/>
  <c r="E53" i="5"/>
  <c r="F42" i="5" s="1"/>
  <c r="H12" i="6"/>
  <c r="H13" i="6" s="1"/>
  <c r="I9" i="5"/>
  <c r="C354" i="12"/>
  <c r="J354" i="12" s="1"/>
  <c r="G354" i="12" s="1"/>
  <c r="I354" i="12" s="1"/>
  <c r="G353" i="12"/>
  <c r="I353" i="12" s="1"/>
  <c r="C349" i="12"/>
  <c r="G348" i="12"/>
  <c r="I348" i="12" s="1"/>
  <c r="C241" i="12"/>
  <c r="J241" i="12" s="1"/>
  <c r="G241" i="12" s="1"/>
  <c r="I241" i="12" s="1"/>
  <c r="G240" i="12"/>
  <c r="I240" i="12" s="1"/>
  <c r="C346" i="12"/>
  <c r="G345" i="12"/>
  <c r="I345" i="12" s="1"/>
  <c r="C334" i="12"/>
  <c r="J334" i="12" s="1"/>
  <c r="G334" i="12" s="1"/>
  <c r="I334" i="12" s="1"/>
  <c r="G333" i="12"/>
  <c r="I333" i="12" s="1"/>
  <c r="C322" i="12"/>
  <c r="G321" i="12"/>
  <c r="I321" i="12" s="1"/>
  <c r="C298" i="12"/>
  <c r="J298" i="12" s="1"/>
  <c r="G298" i="12" s="1"/>
  <c r="I298" i="12" s="1"/>
  <c r="G297" i="12"/>
  <c r="I297" i="12" s="1"/>
  <c r="C286" i="12"/>
  <c r="J286" i="12" s="1"/>
  <c r="G286" i="12" s="1"/>
  <c r="I286" i="12" s="1"/>
  <c r="G285" i="12"/>
  <c r="I285" i="12" s="1"/>
  <c r="C342" i="12"/>
  <c r="J342" i="12" s="1"/>
  <c r="C343" i="12" s="1"/>
  <c r="G341" i="12"/>
  <c r="I341" i="12" s="1"/>
  <c r="C198" i="12"/>
  <c r="J198" i="12" s="1"/>
  <c r="G198" i="12" s="1"/>
  <c r="I198" i="12" s="1"/>
  <c r="G197" i="12"/>
  <c r="I197" i="12" s="1"/>
  <c r="C374" i="12"/>
  <c r="J374" i="12" s="1"/>
  <c r="G374" i="12" s="1"/>
  <c r="I374" i="12" s="1"/>
  <c r="G373" i="12"/>
  <c r="I373" i="12" s="1"/>
  <c r="C290" i="12"/>
  <c r="J290" i="12" s="1"/>
  <c r="C291" i="12" s="1"/>
  <c r="J291" i="12" s="1"/>
  <c r="C292" i="12" s="1"/>
  <c r="G289" i="12"/>
  <c r="I289" i="12" s="1"/>
  <c r="C325" i="12"/>
  <c r="J325" i="12" s="1"/>
  <c r="C326" i="12" s="1"/>
  <c r="G324" i="12"/>
  <c r="I324" i="12" s="1"/>
  <c r="C229" i="12"/>
  <c r="J229" i="12" s="1"/>
  <c r="G229" i="12" s="1"/>
  <c r="I229" i="12" s="1"/>
  <c r="G228" i="12"/>
  <c r="I228" i="12" s="1"/>
  <c r="C288" i="12"/>
  <c r="J288" i="12" s="1"/>
  <c r="G288" i="12" s="1"/>
  <c r="I288" i="12" s="1"/>
  <c r="G287" i="12"/>
  <c r="I287" i="12" s="1"/>
  <c r="C370" i="12"/>
  <c r="J370" i="12" s="1"/>
  <c r="C371" i="12" s="1"/>
  <c r="G369" i="12"/>
  <c r="I369" i="12" s="1"/>
  <c r="C205" i="12"/>
  <c r="J205" i="12" s="1"/>
  <c r="G205" i="12" s="1"/>
  <c r="I205" i="12" s="1"/>
  <c r="G204" i="12"/>
  <c r="I204" i="12" s="1"/>
  <c r="C300" i="12"/>
  <c r="J300" i="12" s="1"/>
  <c r="G300" i="12" s="1"/>
  <c r="I300" i="12" s="1"/>
  <c r="G299" i="12"/>
  <c r="I299" i="12" s="1"/>
  <c r="C264" i="12"/>
  <c r="J264" i="12" s="1"/>
  <c r="G264" i="12" s="1"/>
  <c r="I264" i="12" s="1"/>
  <c r="G263" i="12"/>
  <c r="I263" i="12" s="1"/>
  <c r="C284" i="12"/>
  <c r="J284" i="12" s="1"/>
  <c r="G284" i="12" s="1"/>
  <c r="I284" i="12" s="1"/>
  <c r="G283" i="12"/>
  <c r="I283" i="12" s="1"/>
  <c r="C272" i="12"/>
  <c r="J272" i="12" s="1"/>
  <c r="G272" i="12" s="1"/>
  <c r="I272" i="12" s="1"/>
  <c r="G271" i="12"/>
  <c r="I271" i="12" s="1"/>
  <c r="C236" i="12"/>
  <c r="G235" i="12"/>
  <c r="I235" i="12" s="1"/>
  <c r="C366" i="12"/>
  <c r="J366" i="12" s="1"/>
  <c r="G366" i="12" s="1"/>
  <c r="I366" i="12" s="1"/>
  <c r="G365" i="12"/>
  <c r="I365" i="12" s="1"/>
  <c r="C257" i="12"/>
  <c r="J257" i="12" s="1"/>
  <c r="G257" i="12" s="1"/>
  <c r="I257" i="12" s="1"/>
  <c r="G256" i="12"/>
  <c r="I256" i="12" s="1"/>
  <c r="C254" i="12"/>
  <c r="J254" i="12" s="1"/>
  <c r="G254" i="12" s="1"/>
  <c r="I254" i="12" s="1"/>
  <c r="G253" i="12"/>
  <c r="I253" i="12" s="1"/>
  <c r="C217" i="12"/>
  <c r="J217" i="12" s="1"/>
  <c r="G217" i="12" s="1"/>
  <c r="I217" i="12" s="1"/>
  <c r="G216" i="12"/>
  <c r="I216" i="12" s="1"/>
  <c r="C312" i="12"/>
  <c r="G311" i="12"/>
  <c r="I311" i="12" s="1"/>
  <c r="C276" i="12"/>
  <c r="J276" i="12" s="1"/>
  <c r="G276" i="12" s="1"/>
  <c r="I276" i="12" s="1"/>
  <c r="G275" i="12"/>
  <c r="I275" i="12" s="1"/>
  <c r="C358" i="12"/>
  <c r="J358" i="12" s="1"/>
  <c r="C359" i="12" s="1"/>
  <c r="G357" i="12"/>
  <c r="I357" i="12" s="1"/>
  <c r="C307" i="12"/>
  <c r="J307" i="12" s="1"/>
  <c r="G307" i="12" s="1"/>
  <c r="I307" i="12" s="1"/>
  <c r="G306" i="12"/>
  <c r="I306" i="12" s="1"/>
  <c r="C259" i="12"/>
  <c r="J259" i="12" s="1"/>
  <c r="C260" i="12" s="1"/>
  <c r="G258" i="12"/>
  <c r="I258" i="12" s="1"/>
  <c r="C247" i="12"/>
  <c r="J247" i="12" s="1"/>
  <c r="C248" i="12" s="1"/>
  <c r="G246" i="12"/>
  <c r="I246" i="12" s="1"/>
  <c r="C211" i="12"/>
  <c r="J211" i="12" s="1"/>
  <c r="C212" i="12" s="1"/>
  <c r="J212" i="12" s="1"/>
  <c r="C213" i="12" s="1"/>
  <c r="G210" i="12"/>
  <c r="I210" i="12" s="1"/>
  <c r="C281" i="12"/>
  <c r="G280" i="12"/>
  <c r="I280" i="12" s="1"/>
  <c r="C221" i="12"/>
  <c r="J221" i="12" s="1"/>
  <c r="G221" i="12" s="1"/>
  <c r="I221" i="12" s="1"/>
  <c r="G220" i="12"/>
  <c r="I220" i="12" s="1"/>
  <c r="C209" i="12"/>
  <c r="J209" i="12" s="1"/>
  <c r="G209" i="12" s="1"/>
  <c r="I209" i="12" s="1"/>
  <c r="G208" i="12"/>
  <c r="I208" i="12" s="1"/>
  <c r="C352" i="12"/>
  <c r="J352" i="12" s="1"/>
  <c r="G352" i="12" s="1"/>
  <c r="I352" i="12" s="1"/>
  <c r="G351" i="12"/>
  <c r="I351" i="12" s="1"/>
  <c r="C316" i="12"/>
  <c r="J316" i="12" s="1"/>
  <c r="G316" i="12" s="1"/>
  <c r="I316" i="12" s="1"/>
  <c r="G315" i="12"/>
  <c r="I315" i="12" s="1"/>
  <c r="C304" i="12"/>
  <c r="J304" i="12" s="1"/>
  <c r="G304" i="12" s="1"/>
  <c r="I304" i="12" s="1"/>
  <c r="G303" i="12"/>
  <c r="I303" i="12" s="1"/>
  <c r="C268" i="12"/>
  <c r="J268" i="12" s="1"/>
  <c r="G268" i="12" s="1"/>
  <c r="I268" i="12" s="1"/>
  <c r="G267" i="12"/>
  <c r="I267" i="12" s="1"/>
  <c r="C196" i="12"/>
  <c r="J196" i="12" s="1"/>
  <c r="G196" i="12" s="1"/>
  <c r="I196" i="12" s="1"/>
  <c r="G195" i="12"/>
  <c r="I195" i="12" s="1"/>
  <c r="J15" i="12"/>
  <c r="N13" i="12"/>
  <c r="E12" i="12"/>
  <c r="C243" i="12"/>
  <c r="G242" i="12"/>
  <c r="I242" i="12" s="1"/>
  <c r="C231" i="12"/>
  <c r="G230" i="12"/>
  <c r="I230" i="12" s="1"/>
  <c r="C219" i="12"/>
  <c r="J219" i="12" s="1"/>
  <c r="G219" i="12" s="1"/>
  <c r="I219" i="12" s="1"/>
  <c r="G218" i="12"/>
  <c r="I218" i="12" s="1"/>
  <c r="Q35" i="5"/>
  <c r="K7" i="5"/>
  <c r="K43" i="5" s="1"/>
  <c r="K11" i="6" l="1"/>
  <c r="K12" i="6" s="1"/>
  <c r="K13" i="6" s="1"/>
  <c r="F45" i="5"/>
  <c r="Q26" i="5"/>
  <c r="J9" i="5"/>
  <c r="L11" i="6"/>
  <c r="J371" i="12"/>
  <c r="C372" i="12" s="1"/>
  <c r="J372" i="12" s="1"/>
  <c r="G372" i="12" s="1"/>
  <c r="I372" i="12" s="1"/>
  <c r="J248" i="12"/>
  <c r="C249" i="12" s="1"/>
  <c r="J260" i="12"/>
  <c r="C261" i="12" s="1"/>
  <c r="J213" i="12"/>
  <c r="C214" i="12" s="1"/>
  <c r="J326" i="12"/>
  <c r="C327" i="12" s="1"/>
  <c r="J292" i="12"/>
  <c r="C293" i="12" s="1"/>
  <c r="J346" i="12"/>
  <c r="C347" i="12" s="1"/>
  <c r="J347" i="12" s="1"/>
  <c r="G347" i="12" s="1"/>
  <c r="I347" i="12" s="1"/>
  <c r="G342" i="12"/>
  <c r="I342" i="12" s="1"/>
  <c r="G358" i="12"/>
  <c r="I358" i="12" s="1"/>
  <c r="J281" i="12"/>
  <c r="C282" i="12" s="1"/>
  <c r="J282" i="12" s="1"/>
  <c r="G282" i="12" s="1"/>
  <c r="I282" i="12" s="1"/>
  <c r="J349" i="12"/>
  <c r="C350" i="12" s="1"/>
  <c r="J350" i="12" s="1"/>
  <c r="G350" i="12" s="1"/>
  <c r="I350" i="12" s="1"/>
  <c r="J236" i="12"/>
  <c r="C237" i="12" s="1"/>
  <c r="G291" i="12"/>
  <c r="I291" i="12" s="1"/>
  <c r="G247" i="12"/>
  <c r="I247" i="12" s="1"/>
  <c r="G212" i="12"/>
  <c r="I212" i="12" s="1"/>
  <c r="G259" i="12"/>
  <c r="I259" i="12" s="1"/>
  <c r="G290" i="12"/>
  <c r="I290" i="12" s="1"/>
  <c r="G15" i="12"/>
  <c r="C16" i="12"/>
  <c r="J231" i="12"/>
  <c r="C232" i="12" s="1"/>
  <c r="J343" i="12"/>
  <c r="C344" i="12" s="1"/>
  <c r="J344" i="12" s="1"/>
  <c r="G344" i="12" s="1"/>
  <c r="I344" i="12" s="1"/>
  <c r="J312" i="12"/>
  <c r="C313" i="12" s="1"/>
  <c r="J313" i="12" s="1"/>
  <c r="G313" i="12" s="1"/>
  <c r="I313" i="12" s="1"/>
  <c r="G370" i="12"/>
  <c r="I370" i="12" s="1"/>
  <c r="J322" i="12"/>
  <c r="C323" i="12" s="1"/>
  <c r="J323" i="12" s="1"/>
  <c r="G323" i="12" s="1"/>
  <c r="I323" i="12" s="1"/>
  <c r="J243" i="12"/>
  <c r="C244" i="12" s="1"/>
  <c r="J244" i="12" s="1"/>
  <c r="G244" i="12" s="1"/>
  <c r="I244" i="12" s="1"/>
  <c r="J359" i="12"/>
  <c r="C360" i="12" s="1"/>
  <c r="G325" i="12"/>
  <c r="I325" i="12" s="1"/>
  <c r="G211" i="12"/>
  <c r="I211" i="12" s="1"/>
  <c r="L7" i="5"/>
  <c r="L43" i="5" s="1"/>
  <c r="F53" i="5" l="1"/>
  <c r="K9" i="5"/>
  <c r="G243" i="12"/>
  <c r="I243" i="12" s="1"/>
  <c r="G349" i="12"/>
  <c r="I349" i="12" s="1"/>
  <c r="G346" i="12"/>
  <c r="I346" i="12" s="1"/>
  <c r="G281" i="12"/>
  <c r="I281" i="12" s="1"/>
  <c r="L12" i="6"/>
  <c r="L13" i="6" s="1"/>
  <c r="M11" i="6"/>
  <c r="G322" i="12"/>
  <c r="I322" i="12" s="1"/>
  <c r="G312" i="12"/>
  <c r="I312" i="12" s="1"/>
  <c r="G371" i="12"/>
  <c r="I371" i="12" s="1"/>
  <c r="G343" i="12"/>
  <c r="I343" i="12" s="1"/>
  <c r="G326" i="12"/>
  <c r="I326" i="12" s="1"/>
  <c r="J237" i="12"/>
  <c r="C238" i="12" s="1"/>
  <c r="J238" i="12" s="1"/>
  <c r="G238" i="12" s="1"/>
  <c r="I238" i="12" s="1"/>
  <c r="J261" i="12"/>
  <c r="C262" i="12" s="1"/>
  <c r="J262" i="12" s="1"/>
  <c r="G262" i="12" s="1"/>
  <c r="I262" i="12" s="1"/>
  <c r="G260" i="12"/>
  <c r="I260" i="12" s="1"/>
  <c r="J293" i="12"/>
  <c r="C294" i="12" s="1"/>
  <c r="J294" i="12" s="1"/>
  <c r="G294" i="12" s="1"/>
  <c r="I294" i="12" s="1"/>
  <c r="J16" i="12"/>
  <c r="C17" i="12" s="1"/>
  <c r="G236" i="12"/>
  <c r="I236" i="12" s="1"/>
  <c r="G359" i="12"/>
  <c r="I359" i="12" s="1"/>
  <c r="J249" i="12"/>
  <c r="C250" i="12" s="1"/>
  <c r="G292" i="12"/>
  <c r="I292" i="12" s="1"/>
  <c r="J327" i="12"/>
  <c r="C328" i="12" s="1"/>
  <c r="J360" i="12"/>
  <c r="C361" i="12" s="1"/>
  <c r="J361" i="12" s="1"/>
  <c r="G361" i="12" s="1"/>
  <c r="I361" i="12" s="1"/>
  <c r="J232" i="12"/>
  <c r="C233" i="12" s="1"/>
  <c r="J233" i="12" s="1"/>
  <c r="G233" i="12" s="1"/>
  <c r="I233" i="12" s="1"/>
  <c r="J214" i="12"/>
  <c r="C215" i="12" s="1"/>
  <c r="J215" i="12" s="1"/>
  <c r="G215" i="12" s="1"/>
  <c r="I215" i="12" s="1"/>
  <c r="G213" i="12"/>
  <c r="I213" i="12" s="1"/>
  <c r="I15" i="12"/>
  <c r="G231" i="12"/>
  <c r="I231" i="12" s="1"/>
  <c r="G248" i="12"/>
  <c r="I248" i="12" s="1"/>
  <c r="M7" i="5"/>
  <c r="M43" i="5" s="1"/>
  <c r="G45" i="5" l="1"/>
  <c r="G42" i="5"/>
  <c r="L9" i="5"/>
  <c r="G237" i="12"/>
  <c r="I237" i="12" s="1"/>
  <c r="G232" i="12"/>
  <c r="I232" i="12" s="1"/>
  <c r="M12" i="6"/>
  <c r="M13" i="6" s="1"/>
  <c r="N11" i="6"/>
  <c r="G261" i="12"/>
  <c r="I261" i="12" s="1"/>
  <c r="G360" i="12"/>
  <c r="I360" i="12" s="1"/>
  <c r="G214" i="12"/>
  <c r="I214" i="12" s="1"/>
  <c r="G249" i="12"/>
  <c r="I249" i="12" s="1"/>
  <c r="J17" i="12"/>
  <c r="C18" i="12" s="1"/>
  <c r="G327" i="12"/>
  <c r="I327" i="12" s="1"/>
  <c r="G293" i="12"/>
  <c r="I293" i="12" s="1"/>
  <c r="J328" i="12"/>
  <c r="C329" i="12" s="1"/>
  <c r="G16" i="12"/>
  <c r="J250" i="12"/>
  <c r="C251" i="12" s="1"/>
  <c r="J251" i="12" s="1"/>
  <c r="G251" i="12" s="1"/>
  <c r="I251" i="12" s="1"/>
  <c r="N7" i="5"/>
  <c r="N43" i="5" s="1"/>
  <c r="G53" i="5" l="1"/>
  <c r="M9" i="5"/>
  <c r="N12" i="6"/>
  <c r="N13" i="6" s="1"/>
  <c r="O11" i="6"/>
  <c r="G250" i="12"/>
  <c r="I250" i="12" s="1"/>
  <c r="G328" i="12"/>
  <c r="I328" i="12" s="1"/>
  <c r="I16" i="12"/>
  <c r="J329" i="12"/>
  <c r="C330" i="12" s="1"/>
  <c r="J330" i="12" s="1"/>
  <c r="G330" i="12" s="1"/>
  <c r="I330" i="12" s="1"/>
  <c r="J18" i="12"/>
  <c r="C19" i="12" s="1"/>
  <c r="G17" i="12"/>
  <c r="I17" i="12" s="1"/>
  <c r="O7" i="5"/>
  <c r="O43" i="5" s="1"/>
  <c r="H42" i="5" l="1"/>
  <c r="H45" i="5"/>
  <c r="N9" i="5"/>
  <c r="O12" i="6"/>
  <c r="O13" i="6" s="1"/>
  <c r="P11" i="6"/>
  <c r="J19" i="12"/>
  <c r="C20" i="12" s="1"/>
  <c r="G329" i="12"/>
  <c r="I329" i="12" s="1"/>
  <c r="G18" i="12"/>
  <c r="I18" i="12" s="1"/>
  <c r="P7" i="5"/>
  <c r="P43" i="5" s="1"/>
  <c r="Q43" i="5" s="1"/>
  <c r="H53" i="5" l="1"/>
  <c r="O9" i="5"/>
  <c r="P12" i="6"/>
  <c r="P13" i="6" s="1"/>
  <c r="Q11" i="6"/>
  <c r="J20" i="12"/>
  <c r="C21" i="12" s="1"/>
  <c r="J21" i="12" s="1"/>
  <c r="G19" i="12"/>
  <c r="I45" i="5" l="1"/>
  <c r="I42" i="5"/>
  <c r="P9" i="5"/>
  <c r="Q12" i="6"/>
  <c r="Q13" i="6" s="1"/>
  <c r="R11" i="6"/>
  <c r="G20" i="12"/>
  <c r="I20" i="12" s="1"/>
  <c r="G21" i="12"/>
  <c r="I21" i="12" s="1"/>
  <c r="C22" i="12"/>
  <c r="I19" i="12"/>
  <c r="F21" i="6" l="1"/>
  <c r="F18" i="6"/>
  <c r="F11" i="6"/>
  <c r="F12" i="6" s="1"/>
  <c r="F17" i="6"/>
  <c r="F22" i="6"/>
  <c r="F19" i="6"/>
  <c r="F16" i="6"/>
  <c r="F20" i="6"/>
  <c r="F36" i="6"/>
  <c r="I53" i="5"/>
  <c r="G8" i="6"/>
  <c r="H8" i="6" s="1"/>
  <c r="I8" i="6" s="1"/>
  <c r="J8" i="6" s="1"/>
  <c r="K8" i="6" s="1"/>
  <c r="L8" i="6" s="1"/>
  <c r="M8" i="6" s="1"/>
  <c r="N8" i="6" s="1"/>
  <c r="O8" i="6" s="1"/>
  <c r="P8" i="6" s="1"/>
  <c r="Q8" i="6" s="1"/>
  <c r="R8" i="6" s="1"/>
  <c r="S8" i="6" s="1"/>
  <c r="T8" i="6" s="1"/>
  <c r="R12" i="6"/>
  <c r="R13" i="6" s="1"/>
  <c r="S11" i="6"/>
  <c r="J22" i="12"/>
  <c r="C23" i="12" s="1"/>
  <c r="J23" i="12" s="1"/>
  <c r="J42" i="5" l="1"/>
  <c r="J45" i="5"/>
  <c r="J53" i="5" s="1"/>
  <c r="H18" i="6"/>
  <c r="I18" i="6" s="1"/>
  <c r="J18" i="6" s="1"/>
  <c r="K18" i="6" s="1"/>
  <c r="L18" i="6" s="1"/>
  <c r="M18" i="6" s="1"/>
  <c r="N18" i="6" s="1"/>
  <c r="O18" i="6" s="1"/>
  <c r="P18" i="6" s="1"/>
  <c r="Q18" i="6" s="1"/>
  <c r="R18" i="6" s="1"/>
  <c r="S18" i="6" s="1"/>
  <c r="T18" i="6" s="1"/>
  <c r="H20" i="6"/>
  <c r="I20" i="6" s="1"/>
  <c r="J20" i="6" s="1"/>
  <c r="K20" i="6" s="1"/>
  <c r="L20" i="6" s="1"/>
  <c r="M20" i="6" s="1"/>
  <c r="N20" i="6" s="1"/>
  <c r="O20" i="6" s="1"/>
  <c r="P20" i="6" s="1"/>
  <c r="Q20" i="6" s="1"/>
  <c r="R20" i="6" s="1"/>
  <c r="S20" i="6" s="1"/>
  <c r="T20" i="6" s="1"/>
  <c r="H21" i="6"/>
  <c r="I21" i="6" s="1"/>
  <c r="J21" i="6" s="1"/>
  <c r="K21" i="6" s="1"/>
  <c r="L21" i="6" s="1"/>
  <c r="M21" i="6" s="1"/>
  <c r="N21" i="6" s="1"/>
  <c r="O21" i="6" s="1"/>
  <c r="P21" i="6" s="1"/>
  <c r="Q21" i="6" s="1"/>
  <c r="R21" i="6" s="1"/>
  <c r="S21" i="6" s="1"/>
  <c r="T21" i="6" s="1"/>
  <c r="H19" i="6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F13" i="6"/>
  <c r="F23" i="6"/>
  <c r="H16" i="6"/>
  <c r="S12" i="6"/>
  <c r="S13" i="6" s="1"/>
  <c r="T11" i="6"/>
  <c r="G22" i="12"/>
  <c r="I22" i="12" s="1"/>
  <c r="G23" i="12"/>
  <c r="I23" i="12" s="1"/>
  <c r="C24" i="12"/>
  <c r="K42" i="5" l="1"/>
  <c r="K45" i="5"/>
  <c r="K53" i="5" s="1"/>
  <c r="F25" i="6"/>
  <c r="F26" i="6" s="1"/>
  <c r="G23" i="6"/>
  <c r="G25" i="6" s="1"/>
  <c r="G26" i="6" s="1"/>
  <c r="H17" i="6"/>
  <c r="I17" i="6" s="1"/>
  <c r="J17" i="6" s="1"/>
  <c r="K17" i="6" s="1"/>
  <c r="L17" i="6" s="1"/>
  <c r="M17" i="6" s="1"/>
  <c r="N17" i="6" s="1"/>
  <c r="O17" i="6" s="1"/>
  <c r="P17" i="6" s="1"/>
  <c r="Q17" i="6" s="1"/>
  <c r="R17" i="6" s="1"/>
  <c r="S17" i="6" s="1"/>
  <c r="T17" i="6" s="1"/>
  <c r="I16" i="6"/>
  <c r="T12" i="6"/>
  <c r="T13" i="6" s="1"/>
  <c r="J24" i="12"/>
  <c r="L42" i="5" l="1"/>
  <c r="L45" i="5"/>
  <c r="L53" i="5" s="1"/>
  <c r="G31" i="6"/>
  <c r="G32" i="6" s="1"/>
  <c r="F31" i="6"/>
  <c r="F32" i="6" s="1"/>
  <c r="H23" i="6"/>
  <c r="H25" i="6" s="1"/>
  <c r="H26" i="6" s="1"/>
  <c r="I23" i="6"/>
  <c r="I25" i="6" s="1"/>
  <c r="J16" i="6"/>
  <c r="G24" i="12"/>
  <c r="I24" i="12" s="1"/>
  <c r="C25" i="12"/>
  <c r="M42" i="5" l="1"/>
  <c r="M45" i="5"/>
  <c r="M53" i="5" s="1"/>
  <c r="H31" i="6"/>
  <c r="H32" i="6" s="1"/>
  <c r="J23" i="6"/>
  <c r="J25" i="6" s="1"/>
  <c r="K16" i="6"/>
  <c r="I31" i="6"/>
  <c r="I32" i="6" s="1"/>
  <c r="I26" i="6"/>
  <c r="J25" i="12"/>
  <c r="N45" i="5" l="1"/>
  <c r="N53" i="5" s="1"/>
  <c r="N42" i="5"/>
  <c r="K23" i="6"/>
  <c r="K25" i="6" s="1"/>
  <c r="L16" i="6"/>
  <c r="J31" i="6"/>
  <c r="J32" i="6" s="1"/>
  <c r="J26" i="6"/>
  <c r="G25" i="12"/>
  <c r="I25" i="12" s="1"/>
  <c r="C26" i="12"/>
  <c r="O45" i="5" l="1"/>
  <c r="O53" i="5" s="1"/>
  <c r="O42" i="5"/>
  <c r="M16" i="6"/>
  <c r="L23" i="6"/>
  <c r="L25" i="6" s="1"/>
  <c r="K26" i="6"/>
  <c r="K31" i="6"/>
  <c r="K32" i="6" s="1"/>
  <c r="J26" i="12"/>
  <c r="C27" i="12" s="1"/>
  <c r="P42" i="5" l="1"/>
  <c r="Q42" i="5" s="1"/>
  <c r="P45" i="5"/>
  <c r="L31" i="6"/>
  <c r="L32" i="6" s="1"/>
  <c r="L26" i="6"/>
  <c r="M23" i="6"/>
  <c r="M25" i="6" s="1"/>
  <c r="N16" i="6"/>
  <c r="J27" i="12"/>
  <c r="C28" i="12" s="1"/>
  <c r="G26" i="12"/>
  <c r="I26" i="12" s="1"/>
  <c r="P53" i="5" l="1"/>
  <c r="Q45" i="5"/>
  <c r="O16" i="6"/>
  <c r="N23" i="6"/>
  <c r="N25" i="6" s="1"/>
  <c r="M26" i="6"/>
  <c r="M31" i="6"/>
  <c r="M32" i="6" s="1"/>
  <c r="J28" i="12"/>
  <c r="C29" i="12" s="1"/>
  <c r="G27" i="12"/>
  <c r="I27" i="12" s="1"/>
  <c r="N26" i="6" l="1"/>
  <c r="N31" i="6"/>
  <c r="N32" i="6" s="1"/>
  <c r="P16" i="6"/>
  <c r="O23" i="6"/>
  <c r="O25" i="6" s="1"/>
  <c r="J29" i="12"/>
  <c r="C30" i="12" s="1"/>
  <c r="G28" i="12"/>
  <c r="I28" i="12" s="1"/>
  <c r="O26" i="6" l="1"/>
  <c r="O31" i="6"/>
  <c r="O32" i="6" s="1"/>
  <c r="Q16" i="6"/>
  <c r="P23" i="6"/>
  <c r="P25" i="6" s="1"/>
  <c r="J30" i="12"/>
  <c r="C31" i="12" s="1"/>
  <c r="G29" i="12"/>
  <c r="I29" i="12" s="1"/>
  <c r="P26" i="6" l="1"/>
  <c r="P31" i="6"/>
  <c r="P32" i="6" s="1"/>
  <c r="Q23" i="6"/>
  <c r="Q25" i="6" s="1"/>
  <c r="R16" i="6"/>
  <c r="J31" i="12"/>
  <c r="C32" i="12" s="1"/>
  <c r="G30" i="12"/>
  <c r="I30" i="12" s="1"/>
  <c r="R23" i="6" l="1"/>
  <c r="R25" i="6" s="1"/>
  <c r="S16" i="6"/>
  <c r="Q26" i="6"/>
  <c r="Q31" i="6"/>
  <c r="Q32" i="6" s="1"/>
  <c r="J32" i="12"/>
  <c r="C33" i="12" s="1"/>
  <c r="G31" i="12"/>
  <c r="I31" i="12" s="1"/>
  <c r="T16" i="6" l="1"/>
  <c r="T23" i="6" s="1"/>
  <c r="T25" i="6" s="1"/>
  <c r="S23" i="6"/>
  <c r="S25" i="6" s="1"/>
  <c r="R26" i="6"/>
  <c r="R31" i="6"/>
  <c r="R32" i="6" s="1"/>
  <c r="J33" i="12"/>
  <c r="C34" i="12" s="1"/>
  <c r="J34" i="12" s="1"/>
  <c r="G32" i="12"/>
  <c r="I32" i="12" s="1"/>
  <c r="S26" i="6" l="1"/>
  <c r="S31" i="6"/>
  <c r="S32" i="6" s="1"/>
  <c r="T26" i="6"/>
  <c r="T31" i="6"/>
  <c r="T32" i="6" s="1"/>
  <c r="G33" i="12"/>
  <c r="I33" i="12" s="1"/>
  <c r="G34" i="12"/>
  <c r="I34" i="12" s="1"/>
  <c r="C35" i="12"/>
  <c r="J35" i="12" l="1"/>
  <c r="C36" i="12" s="1"/>
  <c r="J36" i="12" l="1"/>
  <c r="C37" i="12" s="1"/>
  <c r="J37" i="12" s="1"/>
  <c r="G35" i="12"/>
  <c r="I35" i="12" s="1"/>
  <c r="G37" i="12" l="1"/>
  <c r="I37" i="12" s="1"/>
  <c r="C38" i="12"/>
  <c r="J38" i="12" s="1"/>
  <c r="G36" i="12"/>
  <c r="I36" i="12" s="1"/>
  <c r="G38" i="12" l="1"/>
  <c r="I38" i="12" s="1"/>
  <c r="C39" i="12"/>
  <c r="J39" i="12" s="1"/>
  <c r="G39" i="12" l="1"/>
  <c r="I39" i="12" s="1"/>
  <c r="C40" i="12"/>
  <c r="J40" i="12" l="1"/>
  <c r="C41" i="12" s="1"/>
  <c r="J41" i="12" s="1"/>
  <c r="G40" i="12" l="1"/>
  <c r="I40" i="12" s="1"/>
  <c r="G41" i="12"/>
  <c r="I41" i="12" s="1"/>
  <c r="C42" i="12"/>
  <c r="J42" i="12" l="1"/>
  <c r="C43" i="12" s="1"/>
  <c r="J43" i="12" l="1"/>
  <c r="C44" i="12" s="1"/>
  <c r="J44" i="12" s="1"/>
  <c r="G42" i="12"/>
  <c r="I42" i="12" s="1"/>
  <c r="G43" i="12" l="1"/>
  <c r="I43" i="12" s="1"/>
  <c r="G44" i="12"/>
  <c r="I44" i="12" s="1"/>
  <c r="C45" i="12"/>
  <c r="J45" i="12" l="1"/>
  <c r="C46" i="12" s="1"/>
  <c r="G45" i="12" l="1"/>
  <c r="I45" i="12" s="1"/>
  <c r="J46" i="12"/>
  <c r="C47" i="12" s="1"/>
  <c r="J47" i="12" l="1"/>
  <c r="C48" i="12" s="1"/>
  <c r="G46" i="12"/>
  <c r="I46" i="12" s="1"/>
  <c r="J48" i="12" l="1"/>
  <c r="C49" i="12" s="1"/>
  <c r="J49" i="12" s="1"/>
  <c r="G47" i="12"/>
  <c r="I47" i="12" s="1"/>
  <c r="G48" i="12" l="1"/>
  <c r="I48" i="12" s="1"/>
  <c r="G49" i="12"/>
  <c r="I49" i="12" s="1"/>
  <c r="C50" i="12"/>
  <c r="J50" i="12" l="1"/>
  <c r="C51" i="12" s="1"/>
  <c r="J51" i="12" l="1"/>
  <c r="C52" i="12" s="1"/>
  <c r="G50" i="12"/>
  <c r="I50" i="12" s="1"/>
  <c r="J52" i="12" l="1"/>
  <c r="C53" i="12" s="1"/>
  <c r="G51" i="12"/>
  <c r="I51" i="12" s="1"/>
  <c r="J53" i="12" l="1"/>
  <c r="C54" i="12" s="1"/>
  <c r="J54" i="12" s="1"/>
  <c r="G52" i="12"/>
  <c r="I52" i="12" s="1"/>
  <c r="G53" i="12" l="1"/>
  <c r="I53" i="12" s="1"/>
  <c r="G54" i="12"/>
  <c r="I54" i="12" s="1"/>
  <c r="C55" i="12"/>
  <c r="J55" i="12" s="1"/>
  <c r="G55" i="12" l="1"/>
  <c r="I55" i="12" s="1"/>
  <c r="C56" i="12"/>
  <c r="J56" i="12" s="1"/>
  <c r="G56" i="12" l="1"/>
  <c r="I56" i="12" s="1"/>
  <c r="C57" i="12"/>
  <c r="J57" i="12" l="1"/>
  <c r="C58" i="12" s="1"/>
  <c r="G57" i="12" l="1"/>
  <c r="I57" i="12" s="1"/>
  <c r="J58" i="12"/>
  <c r="C59" i="12" s="1"/>
  <c r="J59" i="12" l="1"/>
  <c r="C60" i="12" s="1"/>
  <c r="G58" i="12"/>
  <c r="I58" i="12" s="1"/>
  <c r="G59" i="12" l="1"/>
  <c r="I59" i="12" s="1"/>
  <c r="J60" i="12"/>
  <c r="C61" i="12" s="1"/>
  <c r="J61" i="12" s="1"/>
  <c r="G60" i="12" l="1"/>
  <c r="I60" i="12" s="1"/>
  <c r="G61" i="12"/>
  <c r="I61" i="12" s="1"/>
  <c r="C62" i="12"/>
  <c r="J62" i="12" s="1"/>
  <c r="G62" i="12" l="1"/>
  <c r="I62" i="12" s="1"/>
  <c r="C63" i="12"/>
  <c r="J63" i="12" l="1"/>
  <c r="C64" i="12" s="1"/>
  <c r="J64" i="12" l="1"/>
  <c r="C65" i="12" s="1"/>
  <c r="J65" i="12" s="1"/>
  <c r="G63" i="12"/>
  <c r="I63" i="12" s="1"/>
  <c r="G64" i="12" l="1"/>
  <c r="I64" i="12" s="1"/>
  <c r="G65" i="12"/>
  <c r="I65" i="12" s="1"/>
  <c r="C66" i="12"/>
  <c r="J66" i="12" l="1"/>
  <c r="C67" i="12" s="1"/>
  <c r="J67" i="12" s="1"/>
  <c r="G67" i="12" l="1"/>
  <c r="I67" i="12" s="1"/>
  <c r="C68" i="12"/>
  <c r="G66" i="12"/>
  <c r="I66" i="12" s="1"/>
  <c r="J68" i="12" l="1"/>
  <c r="C69" i="12" s="1"/>
  <c r="J69" i="12" s="1"/>
  <c r="G68" i="12" l="1"/>
  <c r="I68" i="12" s="1"/>
  <c r="G69" i="12"/>
  <c r="I69" i="12" s="1"/>
  <c r="C70" i="12"/>
  <c r="J70" i="12" l="1"/>
  <c r="C71" i="12" s="1"/>
  <c r="J71" i="12" l="1"/>
  <c r="C72" i="12" s="1"/>
  <c r="G70" i="12"/>
  <c r="I70" i="12" s="1"/>
  <c r="G71" i="12" l="1"/>
  <c r="I71" i="12" s="1"/>
  <c r="J72" i="12"/>
  <c r="C73" i="12" s="1"/>
  <c r="J73" i="12" l="1"/>
  <c r="C74" i="12" s="1"/>
  <c r="G72" i="12"/>
  <c r="I72" i="12" s="1"/>
  <c r="J74" i="12" l="1"/>
  <c r="C75" i="12" s="1"/>
  <c r="G73" i="12"/>
  <c r="I73" i="12" s="1"/>
  <c r="J75" i="12" l="1"/>
  <c r="C76" i="12" s="1"/>
  <c r="G74" i="12"/>
  <c r="I74" i="12" s="1"/>
  <c r="G75" i="12" l="1"/>
  <c r="I75" i="12" s="1"/>
  <c r="J76" i="12"/>
  <c r="C77" i="12" s="1"/>
  <c r="G76" i="12" l="1"/>
  <c r="I76" i="12" s="1"/>
  <c r="J77" i="12"/>
  <c r="C78" i="12" s="1"/>
  <c r="J78" i="12" l="1"/>
  <c r="C79" i="12" s="1"/>
  <c r="J79" i="12" s="1"/>
  <c r="G77" i="12"/>
  <c r="I77" i="12" s="1"/>
  <c r="G78" i="12" l="1"/>
  <c r="I78" i="12" s="1"/>
  <c r="G79" i="12"/>
  <c r="I79" i="12" s="1"/>
  <c r="C80" i="12"/>
  <c r="J80" i="12" s="1"/>
  <c r="G80" i="12" l="1"/>
  <c r="I80" i="12" s="1"/>
  <c r="C81" i="12"/>
  <c r="J81" i="12" s="1"/>
  <c r="G81" i="12" l="1"/>
  <c r="I81" i="12" s="1"/>
  <c r="C82" i="12"/>
  <c r="J82" i="12" l="1"/>
  <c r="C83" i="12" s="1"/>
  <c r="J83" i="12" l="1"/>
  <c r="C84" i="12" s="1"/>
  <c r="G82" i="12"/>
  <c r="I82" i="12" s="1"/>
  <c r="J84" i="12" l="1"/>
  <c r="C85" i="12" s="1"/>
  <c r="J85" i="12" s="1"/>
  <c r="G83" i="12"/>
  <c r="I83" i="12" s="1"/>
  <c r="G84" i="12" l="1"/>
  <c r="I84" i="12" s="1"/>
  <c r="G85" i="12"/>
  <c r="I85" i="12" s="1"/>
  <c r="C86" i="12"/>
  <c r="J86" i="12" l="1"/>
  <c r="G86" i="12" l="1"/>
  <c r="I86" i="12" s="1"/>
  <c r="C87" i="12"/>
  <c r="J87" i="12" l="1"/>
  <c r="G87" i="12" l="1"/>
  <c r="C88" i="12"/>
  <c r="E16" i="5"/>
  <c r="J88" i="12" l="1"/>
  <c r="I87" i="12"/>
  <c r="G88" i="12" l="1"/>
  <c r="C89" i="12"/>
  <c r="E26" i="5"/>
  <c r="P27" i="5" l="1"/>
  <c r="F27" i="5"/>
  <c r="G27" i="5"/>
  <c r="H27" i="5"/>
  <c r="I27" i="5"/>
  <c r="J27" i="5"/>
  <c r="K27" i="5"/>
  <c r="L27" i="5"/>
  <c r="O27" i="5"/>
  <c r="M27" i="5"/>
  <c r="N27" i="5"/>
  <c r="E29" i="5"/>
  <c r="E37" i="5" s="1"/>
  <c r="H50" i="2" s="1"/>
  <c r="E27" i="5"/>
  <c r="J89" i="12"/>
  <c r="I88" i="12"/>
  <c r="F16" i="5"/>
  <c r="G38" i="5" l="1"/>
  <c r="Q38" i="5"/>
  <c r="E30" i="5"/>
  <c r="G89" i="12"/>
  <c r="C90" i="12"/>
  <c r="E38" i="5"/>
  <c r="H38" i="5"/>
  <c r="J38" i="5"/>
  <c r="L38" i="5"/>
  <c r="K38" i="5"/>
  <c r="M38" i="5"/>
  <c r="N38" i="5"/>
  <c r="P38" i="5"/>
  <c r="F38" i="5"/>
  <c r="O38" i="5"/>
  <c r="I38" i="5"/>
  <c r="J90" i="12" l="1"/>
  <c r="I89" i="12"/>
  <c r="F26" i="5"/>
  <c r="F29" i="5" s="1"/>
  <c r="F37" i="5" s="1"/>
  <c r="G16" i="5"/>
  <c r="G90" i="12" l="1"/>
  <c r="C91" i="12"/>
  <c r="F30" i="5"/>
  <c r="J91" i="12" l="1"/>
  <c r="I90" i="12"/>
  <c r="G26" i="5"/>
  <c r="G29" i="5" s="1"/>
  <c r="G30" i="5" s="1"/>
  <c r="H16" i="5"/>
  <c r="G91" i="12" l="1"/>
  <c r="C92" i="12"/>
  <c r="G37" i="5"/>
  <c r="J92" i="12" l="1"/>
  <c r="C93" i="12" s="1"/>
  <c r="J93" i="12" s="1"/>
  <c r="I91" i="12"/>
  <c r="H26" i="5"/>
  <c r="H29" i="5" s="1"/>
  <c r="G92" i="12" l="1"/>
  <c r="I92" i="12" s="1"/>
  <c r="G93" i="12"/>
  <c r="I93" i="12" s="1"/>
  <c r="C94" i="12"/>
  <c r="J94" i="12" s="1"/>
  <c r="H30" i="5"/>
  <c r="H37" i="5"/>
  <c r="I16" i="5"/>
  <c r="G94" i="12" l="1"/>
  <c r="I94" i="12" s="1"/>
  <c r="C95" i="12"/>
  <c r="J95" i="12" s="1"/>
  <c r="G95" i="12" l="1"/>
  <c r="I95" i="12" s="1"/>
  <c r="C96" i="12"/>
  <c r="J96" i="12" s="1"/>
  <c r="I26" i="5"/>
  <c r="I29" i="5" s="1"/>
  <c r="G96" i="12" l="1"/>
  <c r="I96" i="12" s="1"/>
  <c r="C97" i="12"/>
  <c r="J97" i="12" s="1"/>
  <c r="I37" i="5"/>
  <c r="I30" i="5"/>
  <c r="J16" i="5"/>
  <c r="G97" i="12" l="1"/>
  <c r="I97" i="12" s="1"/>
  <c r="C98" i="12"/>
  <c r="J98" i="12" l="1"/>
  <c r="C99" i="12" s="1"/>
  <c r="J99" i="12" s="1"/>
  <c r="J26" i="5"/>
  <c r="J29" i="5" s="1"/>
  <c r="J37" i="5" s="1"/>
  <c r="K16" i="5"/>
  <c r="G98" i="12" l="1"/>
  <c r="I98" i="12" s="1"/>
  <c r="G99" i="12"/>
  <c r="I99" i="12" s="1"/>
  <c r="C100" i="12"/>
  <c r="J100" i="12" s="1"/>
  <c r="J30" i="5"/>
  <c r="G100" i="12" l="1"/>
  <c r="I100" i="12" s="1"/>
  <c r="C101" i="12"/>
  <c r="J101" i="12" s="1"/>
  <c r="K26" i="5"/>
  <c r="K29" i="5" s="1"/>
  <c r="G101" i="12" l="1"/>
  <c r="I101" i="12" s="1"/>
  <c r="C102" i="12"/>
  <c r="J102" i="12" s="1"/>
  <c r="K30" i="5"/>
  <c r="K37" i="5"/>
  <c r="L16" i="5"/>
  <c r="G102" i="12" l="1"/>
  <c r="I102" i="12" s="1"/>
  <c r="C103" i="12"/>
  <c r="J103" i="12" l="1"/>
  <c r="C104" i="12" s="1"/>
  <c r="L26" i="5"/>
  <c r="L29" i="5" s="1"/>
  <c r="L37" i="5" s="1"/>
  <c r="M16" i="5"/>
  <c r="G103" i="12" l="1"/>
  <c r="I103" i="12" s="1"/>
  <c r="J104" i="12"/>
  <c r="C105" i="12" s="1"/>
  <c r="L30" i="5"/>
  <c r="G104" i="12" l="1"/>
  <c r="I104" i="12" s="1"/>
  <c r="J105" i="12"/>
  <c r="C106" i="12" s="1"/>
  <c r="J106" i="12" s="1"/>
  <c r="M26" i="5"/>
  <c r="M29" i="5" s="1"/>
  <c r="G105" i="12" l="1"/>
  <c r="I105" i="12" s="1"/>
  <c r="G106" i="12"/>
  <c r="I106" i="12" s="1"/>
  <c r="C107" i="12"/>
  <c r="J107" i="12" s="1"/>
  <c r="M37" i="5"/>
  <c r="M30" i="5"/>
  <c r="N16" i="5"/>
  <c r="G107" i="12" l="1"/>
  <c r="I107" i="12" s="1"/>
  <c r="C108" i="12"/>
  <c r="J108" i="12" s="1"/>
  <c r="G108" i="12" l="1"/>
  <c r="I108" i="12" s="1"/>
  <c r="C109" i="12"/>
  <c r="J109" i="12" s="1"/>
  <c r="N26" i="5"/>
  <c r="N29" i="5" s="1"/>
  <c r="G109" i="12" l="1"/>
  <c r="I109" i="12" s="1"/>
  <c r="C110" i="12"/>
  <c r="N37" i="5"/>
  <c r="N30" i="5"/>
  <c r="O16" i="5"/>
  <c r="J110" i="12" l="1"/>
  <c r="C111" i="12" s="1"/>
  <c r="G110" i="12" l="1"/>
  <c r="I110" i="12" s="1"/>
  <c r="J111" i="12"/>
  <c r="C112" i="12" s="1"/>
  <c r="J112" i="12" s="1"/>
  <c r="O26" i="5"/>
  <c r="O29" i="5" s="1"/>
  <c r="G111" i="12" l="1"/>
  <c r="I111" i="12" s="1"/>
  <c r="G112" i="12"/>
  <c r="I112" i="12" s="1"/>
  <c r="C113" i="12"/>
  <c r="J113" i="12" s="1"/>
  <c r="O37" i="5"/>
  <c r="O30" i="5"/>
  <c r="P16" i="5"/>
  <c r="Q16" i="5" s="1"/>
  <c r="Q29" i="5" s="1"/>
  <c r="Q30" i="5" l="1"/>
  <c r="Q37" i="5"/>
  <c r="K39" i="2" s="1"/>
  <c r="G113" i="12"/>
  <c r="I113" i="12" s="1"/>
  <c r="C114" i="12"/>
  <c r="J114" i="12" s="1"/>
  <c r="K40" i="2" l="1"/>
  <c r="M40" i="2" s="1"/>
  <c r="M39" i="2"/>
  <c r="G114" i="12"/>
  <c r="I114" i="12" s="1"/>
  <c r="C115" i="12"/>
  <c r="P26" i="5"/>
  <c r="P29" i="5" s="1"/>
  <c r="J115" i="12" l="1"/>
  <c r="C116" i="12" s="1"/>
  <c r="J116" i="12" s="1"/>
  <c r="P37" i="5"/>
  <c r="P30" i="5"/>
  <c r="C49" i="2"/>
  <c r="D49" i="2" s="1"/>
  <c r="H28" i="2" s="1"/>
  <c r="D50" i="2"/>
  <c r="L21" i="2" l="1"/>
  <c r="H47" i="2"/>
  <c r="G115" i="12"/>
  <c r="I115" i="12" s="1"/>
  <c r="G116" i="12"/>
  <c r="I116" i="12" s="1"/>
  <c r="C117" i="12"/>
  <c r="J117" i="12" s="1"/>
  <c r="D18" i="2"/>
  <c r="G117" i="12" l="1"/>
  <c r="I117" i="12" s="1"/>
  <c r="C118" i="12"/>
  <c r="J118" i="12" l="1"/>
  <c r="C119" i="12" s="1"/>
  <c r="G118" i="12" l="1"/>
  <c r="I118" i="12" s="1"/>
  <c r="J119" i="12"/>
  <c r="C120" i="12" s="1"/>
  <c r="J120" i="12" s="1"/>
  <c r="G119" i="12" l="1"/>
  <c r="I119" i="12" s="1"/>
  <c r="G120" i="12"/>
  <c r="I120" i="12" s="1"/>
  <c r="C121" i="12"/>
  <c r="J121" i="12" l="1"/>
  <c r="C122" i="12" s="1"/>
  <c r="G121" i="12" l="1"/>
  <c r="I121" i="12" s="1"/>
  <c r="J122" i="12"/>
  <c r="C123" i="12" s="1"/>
  <c r="G122" i="12" l="1"/>
  <c r="I122" i="12" s="1"/>
  <c r="J123" i="12"/>
  <c r="C124" i="12" s="1"/>
  <c r="G123" i="12" l="1"/>
  <c r="I123" i="12" s="1"/>
  <c r="J124" i="12"/>
  <c r="C125" i="12" s="1"/>
  <c r="G124" i="12" l="1"/>
  <c r="I124" i="12" s="1"/>
  <c r="J125" i="12"/>
  <c r="C126" i="12" s="1"/>
  <c r="J126" i="12" s="1"/>
  <c r="G125" i="12" l="1"/>
  <c r="I125" i="12" s="1"/>
  <c r="G126" i="12"/>
  <c r="I126" i="12" s="1"/>
  <c r="C127" i="12"/>
  <c r="J127" i="12" s="1"/>
  <c r="G127" i="12" l="1"/>
  <c r="I127" i="12" s="1"/>
  <c r="C128" i="12"/>
  <c r="J128" i="12" s="1"/>
  <c r="G128" i="12" l="1"/>
  <c r="I128" i="12" s="1"/>
  <c r="C129" i="12"/>
  <c r="J129" i="12" s="1"/>
  <c r="G129" i="12" l="1"/>
  <c r="I129" i="12" s="1"/>
  <c r="C130" i="12"/>
  <c r="J130" i="12" l="1"/>
  <c r="C131" i="12" s="1"/>
  <c r="G130" i="12" l="1"/>
  <c r="I130" i="12" s="1"/>
  <c r="J131" i="12"/>
  <c r="C132" i="12" s="1"/>
  <c r="J132" i="12" s="1"/>
  <c r="G131" i="12" l="1"/>
  <c r="I131" i="12" s="1"/>
  <c r="G132" i="12"/>
  <c r="I132" i="12" s="1"/>
  <c r="C133" i="12"/>
  <c r="J133" i="12" s="1"/>
  <c r="G133" i="12" l="1"/>
  <c r="I133" i="12" s="1"/>
  <c r="C134" i="12"/>
  <c r="J134" i="12" l="1"/>
  <c r="C135" i="12" s="1"/>
  <c r="J135" i="12" s="1"/>
  <c r="G134" i="12" l="1"/>
  <c r="I134" i="12" s="1"/>
  <c r="G135" i="12"/>
  <c r="I135" i="12" s="1"/>
  <c r="C136" i="12"/>
  <c r="J136" i="12" s="1"/>
  <c r="G136" i="12" l="1"/>
  <c r="I136" i="12" s="1"/>
  <c r="C137" i="12"/>
  <c r="J137" i="12" l="1"/>
  <c r="C138" i="12" s="1"/>
  <c r="G137" i="12" l="1"/>
  <c r="I137" i="12" s="1"/>
  <c r="J138" i="12"/>
  <c r="C139" i="12" s="1"/>
  <c r="G138" i="12" l="1"/>
  <c r="I138" i="12" s="1"/>
  <c r="J139" i="12"/>
  <c r="C140" i="12" s="1"/>
  <c r="G139" i="12" l="1"/>
  <c r="I139" i="12" s="1"/>
  <c r="J140" i="12"/>
  <c r="C141" i="12" s="1"/>
  <c r="J141" i="12" s="1"/>
  <c r="G140" i="12" l="1"/>
  <c r="I140" i="12" s="1"/>
  <c r="G141" i="12"/>
  <c r="I141" i="12" s="1"/>
  <c r="C142" i="12"/>
  <c r="J142" i="12" l="1"/>
  <c r="C143" i="12" s="1"/>
  <c r="J143" i="12" s="1"/>
  <c r="G142" i="12" l="1"/>
  <c r="I142" i="12" s="1"/>
  <c r="G143" i="12"/>
  <c r="I143" i="12" s="1"/>
  <c r="C144" i="12"/>
  <c r="J144" i="12" l="1"/>
  <c r="C145" i="12" s="1"/>
  <c r="J145" i="12" s="1"/>
  <c r="G144" i="12" l="1"/>
  <c r="I144" i="12" s="1"/>
  <c r="G145" i="12"/>
  <c r="I145" i="12" s="1"/>
  <c r="C146" i="12"/>
  <c r="J146" i="12" s="1"/>
  <c r="G146" i="12" l="1"/>
  <c r="I146" i="12" s="1"/>
  <c r="C147" i="12"/>
  <c r="J147" i="12" s="1"/>
  <c r="G147" i="12" l="1"/>
  <c r="I147" i="12" s="1"/>
  <c r="C148" i="12"/>
  <c r="J148" i="12" l="1"/>
  <c r="C149" i="12" s="1"/>
  <c r="G148" i="12" l="1"/>
  <c r="I148" i="12" s="1"/>
  <c r="J149" i="12"/>
  <c r="C150" i="12" s="1"/>
  <c r="G149" i="12" l="1"/>
  <c r="I149" i="12" s="1"/>
  <c r="J150" i="12"/>
  <c r="C151" i="12" s="1"/>
  <c r="J151" i="12" s="1"/>
  <c r="G150" i="12" l="1"/>
  <c r="I150" i="12" s="1"/>
  <c r="G151" i="12"/>
  <c r="I151" i="12" s="1"/>
  <c r="C152" i="12"/>
  <c r="J152" i="12" s="1"/>
  <c r="G152" i="12" l="1"/>
  <c r="I152" i="12" s="1"/>
  <c r="C153" i="12"/>
  <c r="J153" i="12" s="1"/>
  <c r="G153" i="12" l="1"/>
  <c r="I153" i="12" s="1"/>
  <c r="C154" i="12"/>
  <c r="J154" i="12" s="1"/>
  <c r="G154" i="12" l="1"/>
  <c r="I154" i="12" s="1"/>
  <c r="C155" i="12"/>
  <c r="J155" i="12" s="1"/>
  <c r="G155" i="12" l="1"/>
  <c r="I155" i="12" s="1"/>
  <c r="C156" i="12"/>
  <c r="J156" i="12" s="1"/>
  <c r="G156" i="12" l="1"/>
  <c r="I156" i="12" s="1"/>
  <c r="C157" i="12"/>
  <c r="J157" i="12" s="1"/>
  <c r="G157" i="12" l="1"/>
  <c r="I157" i="12" s="1"/>
  <c r="C158" i="12"/>
  <c r="J158" i="12" l="1"/>
  <c r="C159" i="12" s="1"/>
  <c r="G158" i="12" l="1"/>
  <c r="I158" i="12" s="1"/>
  <c r="J159" i="12"/>
  <c r="C160" i="12" s="1"/>
  <c r="J160" i="12" s="1"/>
  <c r="G159" i="12" l="1"/>
  <c r="I159" i="12" s="1"/>
  <c r="G160" i="12"/>
  <c r="I160" i="12" s="1"/>
  <c r="C161" i="12"/>
  <c r="J161" i="12" s="1"/>
  <c r="G161" i="12" l="1"/>
  <c r="I161" i="12" s="1"/>
  <c r="C162" i="12"/>
  <c r="J162" i="12" l="1"/>
  <c r="C163" i="12" s="1"/>
  <c r="G162" i="12" l="1"/>
  <c r="I162" i="12" s="1"/>
  <c r="J163" i="12"/>
  <c r="C164" i="12" s="1"/>
  <c r="G163" i="12" l="1"/>
  <c r="I163" i="12" s="1"/>
  <c r="J164" i="12"/>
  <c r="C165" i="12" s="1"/>
  <c r="G164" i="12" l="1"/>
  <c r="I164" i="12" s="1"/>
  <c r="J165" i="12"/>
  <c r="C166" i="12" s="1"/>
  <c r="G165" i="12" l="1"/>
  <c r="I165" i="12" s="1"/>
  <c r="J166" i="12"/>
  <c r="C167" i="12" s="1"/>
  <c r="G166" i="12" l="1"/>
  <c r="I166" i="12" s="1"/>
  <c r="J167" i="12"/>
  <c r="C168" i="12" s="1"/>
  <c r="G167" i="12" l="1"/>
  <c r="I167" i="12" s="1"/>
  <c r="J168" i="12"/>
  <c r="C169" i="12" s="1"/>
  <c r="G168" i="12" l="1"/>
  <c r="I168" i="12" s="1"/>
  <c r="J169" i="12"/>
  <c r="C170" i="12" s="1"/>
  <c r="G169" i="12" l="1"/>
  <c r="I169" i="12" s="1"/>
  <c r="J170" i="12"/>
  <c r="C171" i="12" s="1"/>
  <c r="G170" i="12" l="1"/>
  <c r="I170" i="12" s="1"/>
  <c r="J171" i="12"/>
  <c r="C172" i="12" s="1"/>
  <c r="G171" i="12" l="1"/>
  <c r="I171" i="12" s="1"/>
  <c r="J172" i="12"/>
  <c r="C173" i="12" s="1"/>
  <c r="J173" i="12" s="1"/>
  <c r="G172" i="12" l="1"/>
  <c r="I172" i="12" s="1"/>
  <c r="G173" i="12"/>
  <c r="I173" i="12" s="1"/>
  <c r="C174" i="12"/>
  <c r="J174" i="12" l="1"/>
  <c r="C175" i="12" s="1"/>
  <c r="G174" i="12" l="1"/>
  <c r="I174" i="12" s="1"/>
  <c r="J175" i="12"/>
  <c r="C176" i="12" s="1"/>
  <c r="G175" i="12" l="1"/>
  <c r="I175" i="12" s="1"/>
  <c r="J176" i="12"/>
  <c r="C177" i="12" s="1"/>
  <c r="J177" i="12" s="1"/>
  <c r="G176" i="12" l="1"/>
  <c r="I176" i="12" s="1"/>
  <c r="G177" i="12"/>
  <c r="I177" i="12" s="1"/>
  <c r="C178" i="12"/>
  <c r="J178" i="12" l="1"/>
  <c r="C179" i="12" s="1"/>
  <c r="J179" i="12" s="1"/>
  <c r="G178" i="12" l="1"/>
  <c r="I178" i="12" s="1"/>
  <c r="G179" i="12"/>
  <c r="I179" i="12" s="1"/>
  <c r="C180" i="12"/>
  <c r="J180" i="12" s="1"/>
  <c r="G180" i="12" l="1"/>
  <c r="I180" i="12" s="1"/>
  <c r="C181" i="12"/>
  <c r="J181" i="12" l="1"/>
  <c r="C182" i="12" s="1"/>
  <c r="J182" i="12" s="1"/>
  <c r="G182" i="12" l="1"/>
  <c r="I182" i="12" s="1"/>
  <c r="C183" i="12"/>
  <c r="J183" i="12" s="1"/>
  <c r="G181" i="12"/>
  <c r="I181" i="12" s="1"/>
  <c r="G183" i="12" l="1"/>
  <c r="I183" i="12" s="1"/>
  <c r="C184" i="12"/>
  <c r="J184" i="12" s="1"/>
  <c r="G184" i="12" l="1"/>
  <c r="I184" i="12" s="1"/>
  <c r="C185" i="12"/>
  <c r="J185" i="12" l="1"/>
  <c r="C186" i="12" s="1"/>
  <c r="J186" i="12" s="1"/>
  <c r="G185" i="12" l="1"/>
  <c r="I185" i="12" s="1"/>
  <c r="G186" i="12"/>
  <c r="I186" i="12" s="1"/>
  <c r="C187" i="12"/>
  <c r="J187" i="12" l="1"/>
  <c r="C188" i="12" s="1"/>
  <c r="J188" i="12" s="1"/>
  <c r="G187" i="12" l="1"/>
  <c r="I187" i="12" s="1"/>
  <c r="G188" i="12"/>
  <c r="I188" i="12" s="1"/>
  <c r="C189" i="12"/>
  <c r="J189" i="12" l="1"/>
  <c r="C190" i="12" s="1"/>
  <c r="G189" i="12" l="1"/>
  <c r="I189" i="12" s="1"/>
  <c r="J190" i="12"/>
  <c r="C191" i="12" s="1"/>
  <c r="G190" i="12" l="1"/>
  <c r="I190" i="12" s="1"/>
  <c r="J191" i="12"/>
  <c r="C192" i="12" s="1"/>
  <c r="J192" i="12" s="1"/>
  <c r="G191" i="12" l="1"/>
  <c r="I191" i="12" s="1"/>
  <c r="G192" i="12"/>
  <c r="I192" i="12" s="1"/>
  <c r="C193" i="12"/>
  <c r="J193" i="12" l="1"/>
  <c r="C194" i="12" s="1"/>
  <c r="G193" i="12" l="1"/>
  <c r="I193" i="12" s="1"/>
  <c r="J194" i="12"/>
  <c r="G194" i="12" s="1"/>
  <c r="N14" i="12"/>
  <c r="I194" i="12" l="1"/>
  <c r="I12" i="12" s="1"/>
  <c r="N16" i="12" s="1"/>
  <c r="G12" i="12"/>
  <c r="N15" i="12" l="1"/>
  <c r="G6" i="12"/>
  <c r="D46" i="2" l="1"/>
  <c r="D45" i="2"/>
  <c r="L20" i="2" l="1"/>
  <c r="M20" i="2" s="1"/>
  <c r="D60" i="2"/>
  <c r="C13" i="3" s="1"/>
  <c r="C57" i="3"/>
  <c r="I57" i="3" s="1"/>
  <c r="C55" i="3"/>
  <c r="I55" i="3" s="1"/>
  <c r="C56" i="3"/>
  <c r="I56" i="3" s="1"/>
  <c r="C58" i="3"/>
  <c r="I58" i="3" s="1"/>
  <c r="C59" i="3"/>
  <c r="I59" i="3" s="1"/>
  <c r="L19" i="2"/>
  <c r="M19" i="2" s="1"/>
  <c r="D58" i="2"/>
  <c r="D59" i="3" l="1"/>
  <c r="F59" i="3" s="1"/>
  <c r="D56" i="3"/>
  <c r="F56" i="3" s="1"/>
  <c r="D57" i="3"/>
  <c r="F57" i="3" s="1"/>
  <c r="K57" i="3" s="1"/>
  <c r="I46" i="3"/>
  <c r="I47" i="3"/>
  <c r="D58" i="3"/>
  <c r="F58" i="3" s="1"/>
  <c r="D55" i="3"/>
  <c r="F55" i="3" s="1"/>
  <c r="D59" i="2"/>
  <c r="D61" i="2"/>
  <c r="L25" i="2"/>
  <c r="C29" i="3"/>
  <c r="C31" i="3" s="1"/>
  <c r="C16" i="3" s="1"/>
  <c r="M21" i="2"/>
  <c r="D29" i="3" l="1"/>
  <c r="C18" i="3"/>
  <c r="K56" i="3"/>
  <c r="K58" i="3"/>
  <c r="J46" i="3"/>
  <c r="J47" i="3"/>
  <c r="K59" i="3"/>
  <c r="M28" i="2"/>
  <c r="L32" i="2"/>
  <c r="D52" i="5"/>
  <c r="F6" i="11"/>
  <c r="L34" i="2" l="1"/>
  <c r="H48" i="2"/>
  <c r="F35" i="6"/>
  <c r="F38" i="6" s="1"/>
  <c r="F110" i="11"/>
  <c r="F254" i="11"/>
  <c r="F40" i="11"/>
  <c r="F340" i="11"/>
  <c r="F75" i="11"/>
  <c r="F219" i="11"/>
  <c r="F363" i="11"/>
  <c r="F280" i="11"/>
  <c r="F325" i="11"/>
  <c r="F149" i="11"/>
  <c r="F293" i="11"/>
  <c r="F187" i="11"/>
  <c r="F372" i="11"/>
  <c r="F126" i="11"/>
  <c r="F270" i="11"/>
  <c r="F67" i="11"/>
  <c r="F355" i="11"/>
  <c r="F44" i="11"/>
  <c r="F188" i="11"/>
  <c r="F332" i="11"/>
  <c r="F60" i="11"/>
  <c r="F93" i="11"/>
  <c r="F237" i="11"/>
  <c r="F23" i="11"/>
  <c r="F61" i="11"/>
  <c r="F130" i="11"/>
  <c r="F274" i="11"/>
  <c r="F95" i="11"/>
  <c r="F373" i="11"/>
  <c r="F349" i="11"/>
  <c r="F101" i="11"/>
  <c r="F284" i="11"/>
  <c r="F359" i="11"/>
  <c r="F183" i="11"/>
  <c r="F90" i="11"/>
  <c r="F201" i="11"/>
  <c r="F25" i="11"/>
  <c r="F122" i="11"/>
  <c r="F266" i="11"/>
  <c r="F64" i="11"/>
  <c r="F364" i="11"/>
  <c r="F87" i="11"/>
  <c r="F231" i="11"/>
  <c r="F15" i="11"/>
  <c r="F304" i="11"/>
  <c r="F17" i="11"/>
  <c r="F161" i="11"/>
  <c r="F305" i="11"/>
  <c r="F211" i="11"/>
  <c r="F121" i="11"/>
  <c r="F138" i="11"/>
  <c r="F282" i="11"/>
  <c r="F79" i="11"/>
  <c r="F216" i="11"/>
  <c r="F56" i="11"/>
  <c r="F200" i="11"/>
  <c r="F344" i="11"/>
  <c r="F144" i="11"/>
  <c r="F105" i="11"/>
  <c r="F249" i="11"/>
  <c r="F83" i="11"/>
  <c r="F181" i="11"/>
  <c r="F142" i="11"/>
  <c r="F286" i="11"/>
  <c r="F131" i="11"/>
  <c r="F251" i="11"/>
  <c r="F206" i="11"/>
  <c r="F45" i="11"/>
  <c r="F196" i="11"/>
  <c r="F234" i="11"/>
  <c r="F275" i="11"/>
  <c r="F109" i="11"/>
  <c r="F134" i="11"/>
  <c r="F278" i="11"/>
  <c r="F88" i="11"/>
  <c r="F96" i="11"/>
  <c r="F99" i="11"/>
  <c r="F243" i="11"/>
  <c r="F16" i="11"/>
  <c r="F328" i="11"/>
  <c r="F29" i="11"/>
  <c r="F173" i="11"/>
  <c r="F317" i="11"/>
  <c r="F247" i="11"/>
  <c r="F217" i="11"/>
  <c r="F150" i="11"/>
  <c r="F294" i="11"/>
  <c r="F103" i="11"/>
  <c r="F73" i="11"/>
  <c r="F68" i="11"/>
  <c r="F212" i="11"/>
  <c r="F356" i="11"/>
  <c r="F228" i="11"/>
  <c r="F117" i="11"/>
  <c r="F261" i="11"/>
  <c r="F119" i="11"/>
  <c r="F313" i="11"/>
  <c r="F154" i="11"/>
  <c r="F298" i="11"/>
  <c r="F167" i="11"/>
  <c r="F24" i="11"/>
  <c r="F346" i="11"/>
  <c r="F315" i="11"/>
  <c r="F78" i="11"/>
  <c r="F189" i="11"/>
  <c r="F362" i="11"/>
  <c r="F115" i="11"/>
  <c r="F152" i="11"/>
  <c r="F94" i="11"/>
  <c r="F193" i="11"/>
  <c r="F146" i="11"/>
  <c r="F290" i="11"/>
  <c r="F112" i="11"/>
  <c r="F168" i="11"/>
  <c r="F111" i="11"/>
  <c r="F255" i="11"/>
  <c r="F52" i="11"/>
  <c r="F352" i="11"/>
  <c r="F41" i="11"/>
  <c r="F185" i="11"/>
  <c r="F329" i="11"/>
  <c r="F271" i="11"/>
  <c r="F18" i="11"/>
  <c r="F162" i="11"/>
  <c r="F306" i="11"/>
  <c r="F127" i="11"/>
  <c r="F241" i="11"/>
  <c r="F80" i="11"/>
  <c r="F224" i="11"/>
  <c r="F368" i="11"/>
  <c r="F300" i="11"/>
  <c r="F129" i="11"/>
  <c r="F273" i="11"/>
  <c r="F155" i="11"/>
  <c r="F22" i="11"/>
  <c r="F166" i="11"/>
  <c r="F310" i="11"/>
  <c r="F191" i="11"/>
  <c r="F48" i="11"/>
  <c r="F244" i="11"/>
  <c r="F140" i="11"/>
  <c r="F370" i="11"/>
  <c r="F39" i="11"/>
  <c r="F348" i="11"/>
  <c r="F283" i="11"/>
  <c r="F345" i="11"/>
  <c r="F361" i="11"/>
  <c r="F158" i="11"/>
  <c r="F302" i="11"/>
  <c r="F136" i="11"/>
  <c r="F276" i="11"/>
  <c r="F123" i="11"/>
  <c r="F267" i="11"/>
  <c r="F76" i="11"/>
  <c r="F180" i="11"/>
  <c r="F53" i="11"/>
  <c r="F197" i="11"/>
  <c r="F341" i="11"/>
  <c r="F295" i="11"/>
  <c r="F30" i="11"/>
  <c r="F174" i="11"/>
  <c r="F318" i="11"/>
  <c r="F151" i="11"/>
  <c r="F235" i="11"/>
  <c r="F92" i="11"/>
  <c r="F236" i="11"/>
  <c r="F35" i="11"/>
  <c r="F49" i="11"/>
  <c r="F141" i="11"/>
  <c r="F285" i="11"/>
  <c r="F203" i="11"/>
  <c r="F34" i="11"/>
  <c r="F178" i="11"/>
  <c r="F322" i="11"/>
  <c r="F215" i="11"/>
  <c r="F72" i="11"/>
  <c r="F202" i="11"/>
  <c r="F350" i="11"/>
  <c r="F229" i="11"/>
  <c r="F82" i="11"/>
  <c r="F327" i="11"/>
  <c r="F19" i="11"/>
  <c r="F108" i="11"/>
  <c r="F26" i="11"/>
  <c r="F170" i="11"/>
  <c r="F314" i="11"/>
  <c r="F160" i="11"/>
  <c r="F360" i="11"/>
  <c r="F135" i="11"/>
  <c r="F279" i="11"/>
  <c r="F100" i="11"/>
  <c r="F145" i="11"/>
  <c r="F65" i="11"/>
  <c r="F209" i="11"/>
  <c r="F353" i="11"/>
  <c r="F319" i="11"/>
  <c r="F42" i="11"/>
  <c r="F186" i="11"/>
  <c r="F330" i="11"/>
  <c r="F175" i="11"/>
  <c r="F192" i="11"/>
  <c r="F104" i="11"/>
  <c r="F248" i="11"/>
  <c r="F107" i="11"/>
  <c r="F253" i="11"/>
  <c r="F153" i="11"/>
  <c r="F297" i="11"/>
  <c r="F239" i="11"/>
  <c r="F46" i="11"/>
  <c r="F190" i="11"/>
  <c r="F334" i="11"/>
  <c r="F263" i="11"/>
  <c r="F120" i="11"/>
  <c r="F143" i="11"/>
  <c r="F309" i="11"/>
  <c r="F58" i="11"/>
  <c r="F299" i="11"/>
  <c r="F171" i="11"/>
  <c r="F36" i="11"/>
  <c r="F259" i="11"/>
  <c r="F333" i="11"/>
  <c r="F312" i="11"/>
  <c r="F74" i="11"/>
  <c r="F132" i="11"/>
  <c r="F57" i="11"/>
  <c r="F37" i="11"/>
  <c r="F38" i="11"/>
  <c r="F182" i="11"/>
  <c r="F326" i="11"/>
  <c r="F184" i="11"/>
  <c r="F133" i="11"/>
  <c r="F147" i="11"/>
  <c r="F291" i="11"/>
  <c r="F124" i="11"/>
  <c r="F277" i="11"/>
  <c r="F77" i="11"/>
  <c r="F221" i="11"/>
  <c r="F365" i="11"/>
  <c r="F343" i="11"/>
  <c r="F54" i="11"/>
  <c r="F198" i="11"/>
  <c r="F342" i="11"/>
  <c r="F199" i="11"/>
  <c r="F324" i="11"/>
  <c r="F116" i="11"/>
  <c r="F260" i="11"/>
  <c r="F21" i="11"/>
  <c r="F165" i="11"/>
  <c r="F287" i="11"/>
  <c r="F156" i="11"/>
  <c r="F172" i="11"/>
  <c r="F366" i="11"/>
  <c r="F371" i="11"/>
  <c r="F268" i="11"/>
  <c r="F257" i="11"/>
  <c r="F296" i="11"/>
  <c r="F47" i="11"/>
  <c r="F50" i="11"/>
  <c r="F194" i="11"/>
  <c r="F338" i="11"/>
  <c r="F220" i="11"/>
  <c r="F265" i="11"/>
  <c r="F159" i="11"/>
  <c r="F303" i="11"/>
  <c r="F148" i="11"/>
  <c r="F208" i="11"/>
  <c r="F89" i="11"/>
  <c r="F233" i="11"/>
  <c r="F31" i="11"/>
  <c r="F367" i="11"/>
  <c r="F66" i="11"/>
  <c r="F210" i="11"/>
  <c r="F354" i="11"/>
  <c r="F223" i="11"/>
  <c r="F85" i="11"/>
  <c r="F128" i="11"/>
  <c r="F272" i="11"/>
  <c r="F179" i="11"/>
  <c r="F33" i="11"/>
  <c r="F177" i="11"/>
  <c r="F321" i="11"/>
  <c r="F335" i="11"/>
  <c r="F70" i="11"/>
  <c r="F214" i="11"/>
  <c r="F358" i="11"/>
  <c r="F323" i="11"/>
  <c r="F264" i="11"/>
  <c r="F62" i="11"/>
  <c r="F27" i="11"/>
  <c r="F240" i="11"/>
  <c r="F245" i="11"/>
  <c r="F91" i="11"/>
  <c r="F222" i="11"/>
  <c r="F227" i="11"/>
  <c r="F226" i="11"/>
  <c r="F218" i="11"/>
  <c r="F113" i="11"/>
  <c r="F337" i="11"/>
  <c r="F84" i="11"/>
  <c r="F86" i="11"/>
  <c r="F230" i="11"/>
  <c r="F374" i="11"/>
  <c r="F292" i="11"/>
  <c r="F51" i="11"/>
  <c r="F195" i="11"/>
  <c r="F339" i="11"/>
  <c r="F232" i="11"/>
  <c r="F97" i="11"/>
  <c r="F125" i="11"/>
  <c r="F269" i="11"/>
  <c r="F139" i="11"/>
  <c r="F204" i="11"/>
  <c r="F102" i="11"/>
  <c r="F246" i="11"/>
  <c r="F43" i="11"/>
  <c r="F307" i="11"/>
  <c r="F20" i="11"/>
  <c r="F164" i="11"/>
  <c r="F308" i="11"/>
  <c r="F311" i="11"/>
  <c r="F69" i="11"/>
  <c r="F213" i="11"/>
  <c r="F357" i="11"/>
  <c r="F252" i="11"/>
  <c r="F106" i="11"/>
  <c r="F250" i="11"/>
  <c r="F59" i="11"/>
  <c r="F169" i="11"/>
  <c r="F157" i="11"/>
  <c r="F55" i="11"/>
  <c r="F32" i="11"/>
  <c r="F320" i="11"/>
  <c r="F81" i="11"/>
  <c r="F369" i="11"/>
  <c r="F262" i="11"/>
  <c r="F71" i="11"/>
  <c r="F301" i="11"/>
  <c r="F98" i="11"/>
  <c r="F242" i="11"/>
  <c r="F28" i="11"/>
  <c r="F316" i="11"/>
  <c r="F63" i="11"/>
  <c r="F207" i="11"/>
  <c r="F351" i="11"/>
  <c r="F256" i="11"/>
  <c r="F205" i="11"/>
  <c r="F137" i="11"/>
  <c r="F281" i="11"/>
  <c r="F163" i="11"/>
  <c r="F288" i="11"/>
  <c r="F114" i="11"/>
  <c r="F258" i="11"/>
  <c r="F331" i="11"/>
  <c r="F176" i="11"/>
  <c r="F347" i="11"/>
  <c r="F225" i="11"/>
  <c r="F336" i="11"/>
  <c r="F118" i="11"/>
  <c r="F289" i="11"/>
  <c r="F238" i="11"/>
  <c r="D15" i="11"/>
  <c r="D55" i="5"/>
  <c r="D13" i="3" l="1"/>
  <c r="C20" i="3" s="1"/>
  <c r="Q35" i="6"/>
  <c r="Q38" i="6" s="1"/>
  <c r="R35" i="6"/>
  <c r="R38" i="6" s="1"/>
  <c r="H35" i="6"/>
  <c r="H38" i="6" s="1"/>
  <c r="T35" i="6"/>
  <c r="T38" i="6" s="1"/>
  <c r="I35" i="6"/>
  <c r="I38" i="6" s="1"/>
  <c r="G35" i="6"/>
  <c r="G38" i="6" s="1"/>
  <c r="N35" i="6"/>
  <c r="N38" i="6" s="1"/>
  <c r="O35" i="6"/>
  <c r="O38" i="6" s="1"/>
  <c r="J35" i="6"/>
  <c r="J38" i="6" s="1"/>
  <c r="K35" i="6"/>
  <c r="K38" i="6" s="1"/>
  <c r="L35" i="6"/>
  <c r="L38" i="6" s="1"/>
  <c r="M35" i="6"/>
  <c r="M38" i="6" s="1"/>
  <c r="P35" i="6"/>
  <c r="P38" i="6" s="1"/>
  <c r="S35" i="6"/>
  <c r="S38" i="6" s="1"/>
  <c r="O14" i="11"/>
  <c r="F12" i="11"/>
  <c r="O13" i="11"/>
  <c r="K15" i="11"/>
  <c r="D16" i="11" s="1"/>
  <c r="E13" i="3" l="1"/>
  <c r="D20" i="3" s="1"/>
  <c r="P13" i="3"/>
  <c r="I13" i="3"/>
  <c r="M13" i="3"/>
  <c r="K13" i="3"/>
  <c r="J13" i="3"/>
  <c r="H13" i="3"/>
  <c r="L13" i="3"/>
  <c r="G13" i="3"/>
  <c r="F13" i="3"/>
  <c r="E20" i="3" s="1"/>
  <c r="N13" i="3"/>
  <c r="O13" i="3"/>
  <c r="K16" i="11"/>
  <c r="D17" i="11" s="1"/>
  <c r="H15" i="11"/>
  <c r="I20" i="3" l="1"/>
  <c r="F20" i="3"/>
  <c r="H20" i="3"/>
  <c r="G20" i="3"/>
  <c r="J15" i="11"/>
  <c r="H16" i="11"/>
  <c r="J16" i="11" s="1"/>
  <c r="K17" i="11"/>
  <c r="D18" i="11" s="1"/>
  <c r="H17" i="11" l="1"/>
  <c r="J17" i="11" s="1"/>
  <c r="K18" i="11"/>
  <c r="D19" i="11" s="1"/>
  <c r="H18" i="11" l="1"/>
  <c r="J18" i="11" s="1"/>
  <c r="K19" i="11"/>
  <c r="D20" i="11" s="1"/>
  <c r="H19" i="11" l="1"/>
  <c r="J19" i="11" s="1"/>
  <c r="K20" i="11"/>
  <c r="D21" i="11" s="1"/>
  <c r="H20" i="11" l="1"/>
  <c r="J20" i="11" s="1"/>
  <c r="K21" i="11"/>
  <c r="D22" i="11" s="1"/>
  <c r="H21" i="11" l="1"/>
  <c r="J21" i="11" s="1"/>
  <c r="K22" i="11"/>
  <c r="D23" i="11" s="1"/>
  <c r="H22" i="11" l="1"/>
  <c r="J22" i="11" s="1"/>
  <c r="K23" i="11"/>
  <c r="D24" i="11" s="1"/>
  <c r="K24" i="11" l="1"/>
  <c r="D25" i="11" s="1"/>
  <c r="H23" i="11"/>
  <c r="J23" i="11" s="1"/>
  <c r="H24" i="11" l="1"/>
  <c r="J24" i="11" s="1"/>
  <c r="K25" i="11"/>
  <c r="D26" i="11" s="1"/>
  <c r="H25" i="11" l="1"/>
  <c r="J25" i="11" s="1"/>
  <c r="K26" i="11"/>
  <c r="D27" i="11" s="1"/>
  <c r="H26" i="11" l="1"/>
  <c r="K27" i="11"/>
  <c r="D28" i="11" s="1"/>
  <c r="J26" i="11" l="1"/>
  <c r="E41" i="5" s="1" a="1"/>
  <c r="E44" i="5" a="1"/>
  <c r="E44" i="5" s="1"/>
  <c r="H27" i="11"/>
  <c r="K28" i="11"/>
  <c r="D29" i="11" s="1"/>
  <c r="J27" i="11" l="1"/>
  <c r="L47" i="5"/>
  <c r="L49" i="5" s="1"/>
  <c r="Q44" i="5"/>
  <c r="E52" i="5"/>
  <c r="E41" i="5"/>
  <c r="F47" i="5"/>
  <c r="F49" i="5" s="1"/>
  <c r="G47" i="5"/>
  <c r="G49" i="5" s="1"/>
  <c r="H47" i="5"/>
  <c r="H49" i="5" s="1"/>
  <c r="I47" i="5"/>
  <c r="I49" i="5" s="1"/>
  <c r="J47" i="5"/>
  <c r="J49" i="5" s="1"/>
  <c r="K47" i="5"/>
  <c r="K49" i="5" s="1"/>
  <c r="H28" i="11"/>
  <c r="J28" i="11" s="1"/>
  <c r="K29" i="11"/>
  <c r="D30" i="11" s="1"/>
  <c r="E55" i="5" l="1"/>
  <c r="F52" i="5"/>
  <c r="Q41" i="5"/>
  <c r="Q47" i="5" s="1"/>
  <c r="E47" i="5"/>
  <c r="E49" i="5" s="1"/>
  <c r="H51" i="2" s="1"/>
  <c r="M47" i="5"/>
  <c r="M49" i="5" s="1"/>
  <c r="H29" i="11"/>
  <c r="K30" i="11"/>
  <c r="D31" i="11" s="1"/>
  <c r="Q49" i="5" l="1"/>
  <c r="K41" i="2" s="1"/>
  <c r="M41" i="2" s="1"/>
  <c r="H53" i="2"/>
  <c r="J29" i="11"/>
  <c r="F55" i="5"/>
  <c r="G52" i="5"/>
  <c r="H30" i="11"/>
  <c r="J30" i="11" s="1"/>
  <c r="K31" i="11"/>
  <c r="D32" i="11" s="1"/>
  <c r="G55" i="5" l="1"/>
  <c r="H52" i="5"/>
  <c r="N47" i="5"/>
  <c r="N49" i="5" s="1"/>
  <c r="H31" i="11"/>
  <c r="J31" i="11" s="1"/>
  <c r="K32" i="11"/>
  <c r="D33" i="11" s="1"/>
  <c r="H55" i="5" l="1"/>
  <c r="I52" i="5"/>
  <c r="H32" i="11"/>
  <c r="K33" i="11"/>
  <c r="D34" i="11" s="1"/>
  <c r="J32" i="11" l="1"/>
  <c r="I55" i="5"/>
  <c r="J52" i="5"/>
  <c r="O47" i="5"/>
  <c r="O49" i="5" s="1"/>
  <c r="H33" i="11"/>
  <c r="J33" i="11" s="1"/>
  <c r="K34" i="11"/>
  <c r="D35" i="11" s="1"/>
  <c r="J55" i="5" l="1"/>
  <c r="K52" i="5"/>
  <c r="H34" i="11"/>
  <c r="J34" i="11" s="1"/>
  <c r="K35" i="11"/>
  <c r="D36" i="11" s="1"/>
  <c r="K55" i="5" l="1"/>
  <c r="L52" i="5"/>
  <c r="P47" i="5"/>
  <c r="P49" i="5" s="1"/>
  <c r="H35" i="11"/>
  <c r="J35" i="11" s="1"/>
  <c r="K36" i="11"/>
  <c r="D37" i="11" s="1"/>
  <c r="L55" i="5" l="1"/>
  <c r="M52" i="5"/>
  <c r="H36" i="11"/>
  <c r="J36" i="11" s="1"/>
  <c r="K37" i="11"/>
  <c r="D38" i="11" s="1"/>
  <c r="M55" i="5" l="1"/>
  <c r="N52" i="5"/>
  <c r="H37" i="11"/>
  <c r="J37" i="11" s="1"/>
  <c r="K38" i="11"/>
  <c r="D39" i="11" s="1"/>
  <c r="N55" i="5" l="1"/>
  <c r="O52" i="5"/>
  <c r="H38" i="11"/>
  <c r="J38" i="11" s="1"/>
  <c r="K39" i="11"/>
  <c r="D40" i="11" s="1"/>
  <c r="O55" i="5" l="1"/>
  <c r="P52" i="5"/>
  <c r="P55" i="5" s="1"/>
  <c r="Q55" i="5" s="1"/>
  <c r="H39" i="11"/>
  <c r="K40" i="11"/>
  <c r="D41" i="11" s="1"/>
  <c r="J39" i="11" l="1"/>
  <c r="H40" i="11"/>
  <c r="J40" i="11" s="1"/>
  <c r="K41" i="11"/>
  <c r="D42" i="11" s="1"/>
  <c r="H41" i="11" l="1"/>
  <c r="J41" i="11" s="1"/>
  <c r="K42" i="11"/>
  <c r="D43" i="11" s="1"/>
  <c r="H42" i="11" l="1"/>
  <c r="K43" i="11"/>
  <c r="D44" i="11" s="1"/>
  <c r="J42" i="11" l="1"/>
  <c r="H43" i="11"/>
  <c r="J43" i="11" s="1"/>
  <c r="K44" i="11"/>
  <c r="D45" i="11" s="1"/>
  <c r="H44" i="11" l="1"/>
  <c r="J44" i="11" s="1"/>
  <c r="K45" i="11"/>
  <c r="D46" i="11" s="1"/>
  <c r="H45" i="11" l="1"/>
  <c r="J45" i="11" s="1"/>
  <c r="K46" i="11"/>
  <c r="D47" i="11" s="1"/>
  <c r="H46" i="11" l="1"/>
  <c r="J46" i="11" s="1"/>
  <c r="K47" i="11"/>
  <c r="D48" i="11" s="1"/>
  <c r="H47" i="11" l="1"/>
  <c r="J47" i="11" s="1"/>
  <c r="K48" i="11"/>
  <c r="D49" i="11" s="1"/>
  <c r="H48" i="11" l="1"/>
  <c r="J48" i="11" s="1"/>
  <c r="K49" i="11"/>
  <c r="D50" i="11" s="1"/>
  <c r="H49" i="11" l="1"/>
  <c r="J49" i="11" s="1"/>
  <c r="K50" i="11"/>
  <c r="D51" i="11" s="1"/>
  <c r="H50" i="11" l="1"/>
  <c r="J50" i="11" s="1"/>
  <c r="K51" i="11"/>
  <c r="D52" i="11" s="1"/>
  <c r="H51" i="11" l="1"/>
  <c r="K52" i="11"/>
  <c r="D53" i="11" s="1"/>
  <c r="J51" i="11" l="1"/>
  <c r="H52" i="11"/>
  <c r="J52" i="11" s="1"/>
  <c r="K53" i="11"/>
  <c r="D54" i="11" s="1"/>
  <c r="H53" i="11" l="1"/>
  <c r="J53" i="11" s="1"/>
  <c r="K54" i="11"/>
  <c r="D55" i="11" s="1"/>
  <c r="H54" i="11" l="1"/>
  <c r="K55" i="11"/>
  <c r="D56" i="11" s="1"/>
  <c r="J54" i="11" l="1"/>
  <c r="H55" i="11"/>
  <c r="J55" i="11" s="1"/>
  <c r="K56" i="11"/>
  <c r="D57" i="11" s="1"/>
  <c r="H56" i="11" l="1"/>
  <c r="J56" i="11" s="1"/>
  <c r="K57" i="11"/>
  <c r="D58" i="11" s="1"/>
  <c r="H57" i="11" l="1"/>
  <c r="J57" i="11" s="1"/>
  <c r="K58" i="11"/>
  <c r="D59" i="11" s="1"/>
  <c r="H58" i="11" l="1"/>
  <c r="J58" i="11" s="1"/>
  <c r="K59" i="11"/>
  <c r="D60" i="11" s="1"/>
  <c r="H59" i="11" l="1"/>
  <c r="J59" i="11" s="1"/>
  <c r="K60" i="11"/>
  <c r="D61" i="11" s="1"/>
  <c r="H60" i="11" l="1"/>
  <c r="J60" i="11" s="1"/>
  <c r="K61" i="11"/>
  <c r="D62" i="11" s="1"/>
  <c r="H61" i="11" l="1"/>
  <c r="J61" i="11" s="1"/>
  <c r="K62" i="11"/>
  <c r="D63" i="11" s="1"/>
  <c r="H62" i="11" l="1"/>
  <c r="J62" i="11" s="1"/>
  <c r="K63" i="11"/>
  <c r="D64" i="11" s="1"/>
  <c r="H63" i="11" l="1"/>
  <c r="K64" i="11"/>
  <c r="D65" i="11" s="1"/>
  <c r="J63" i="11" l="1"/>
  <c r="H64" i="11"/>
  <c r="J64" i="11" s="1"/>
  <c r="K65" i="11"/>
  <c r="D66" i="11" s="1"/>
  <c r="H65" i="11" l="1"/>
  <c r="J65" i="11" s="1"/>
  <c r="K66" i="11"/>
  <c r="D67" i="11" s="1"/>
  <c r="H66" i="11" l="1"/>
  <c r="J66" i="11" s="1"/>
  <c r="K67" i="11"/>
  <c r="D68" i="11" s="1"/>
  <c r="H67" i="11" l="1"/>
  <c r="J67" i="11" s="1"/>
  <c r="K68" i="11"/>
  <c r="D69" i="11" s="1"/>
  <c r="H68" i="11" l="1"/>
  <c r="J68" i="11" s="1"/>
  <c r="K69" i="11"/>
  <c r="D70" i="11" s="1"/>
  <c r="H69" i="11" l="1"/>
  <c r="J69" i="11" s="1"/>
  <c r="K70" i="11"/>
  <c r="D71" i="11" s="1"/>
  <c r="H70" i="11" l="1"/>
  <c r="J70" i="11" s="1"/>
  <c r="K71" i="11"/>
  <c r="D72" i="11" s="1"/>
  <c r="H71" i="11" l="1"/>
  <c r="J71" i="11" s="1"/>
  <c r="K72" i="11"/>
  <c r="D73" i="11" s="1"/>
  <c r="H72" i="11" l="1"/>
  <c r="J72" i="11" s="1"/>
  <c r="K73" i="11"/>
  <c r="D74" i="11" s="1"/>
  <c r="H73" i="11" l="1"/>
  <c r="J73" i="11" s="1"/>
  <c r="K74" i="11"/>
  <c r="D75" i="11" s="1"/>
  <c r="H74" i="11" l="1"/>
  <c r="J74" i="11" s="1"/>
  <c r="K75" i="11"/>
  <c r="D76" i="11" s="1"/>
  <c r="H75" i="11" l="1"/>
  <c r="K76" i="11"/>
  <c r="D77" i="11" s="1"/>
  <c r="J75" i="11" l="1"/>
  <c r="H76" i="11"/>
  <c r="J76" i="11" s="1"/>
  <c r="K77" i="11"/>
  <c r="D78" i="11" s="1"/>
  <c r="H77" i="11" l="1"/>
  <c r="J77" i="11" s="1"/>
  <c r="K78" i="11"/>
  <c r="D79" i="11" s="1"/>
  <c r="H78" i="11" l="1"/>
  <c r="J78" i="11" s="1"/>
  <c r="K79" i="11"/>
  <c r="D80" i="11" s="1"/>
  <c r="H79" i="11" l="1"/>
  <c r="J79" i="11" s="1"/>
  <c r="K80" i="11"/>
  <c r="D81" i="11" s="1"/>
  <c r="H80" i="11" l="1"/>
  <c r="J80" i="11" s="1"/>
  <c r="K81" i="11"/>
  <c r="D82" i="11" s="1"/>
  <c r="H81" i="11" l="1"/>
  <c r="J81" i="11" s="1"/>
  <c r="K82" i="11"/>
  <c r="D83" i="11" s="1"/>
  <c r="H82" i="11" l="1"/>
  <c r="J82" i="11" s="1"/>
  <c r="K83" i="11"/>
  <c r="D84" i="11" s="1"/>
  <c r="H83" i="11" l="1"/>
  <c r="J83" i="11" s="1"/>
  <c r="K84" i="11"/>
  <c r="D85" i="11" s="1"/>
  <c r="H84" i="11" l="1"/>
  <c r="J84" i="11" s="1"/>
  <c r="K85" i="11"/>
  <c r="D86" i="11" s="1"/>
  <c r="H85" i="11" l="1"/>
  <c r="J85" i="11" s="1"/>
  <c r="K86" i="11"/>
  <c r="D87" i="11" s="1"/>
  <c r="H86" i="11" l="1"/>
  <c r="J86" i="11" s="1"/>
  <c r="K87" i="11"/>
  <c r="D88" i="11" s="1"/>
  <c r="H87" i="11" l="1"/>
  <c r="J87" i="11" s="1"/>
  <c r="K88" i="11"/>
  <c r="D89" i="11" s="1"/>
  <c r="H88" i="11" l="1"/>
  <c r="J88" i="11" s="1"/>
  <c r="K89" i="11"/>
  <c r="D90" i="11" s="1"/>
  <c r="H89" i="11" l="1"/>
  <c r="K90" i="11"/>
  <c r="D91" i="11" s="1"/>
  <c r="H90" i="11" l="1"/>
  <c r="J90" i="11" s="1"/>
  <c r="J89" i="11"/>
  <c r="K91" i="11"/>
  <c r="D92" i="11" s="1"/>
  <c r="H91" i="11" l="1"/>
  <c r="K92" i="11"/>
  <c r="D93" i="11" s="1"/>
  <c r="J91" i="11" l="1"/>
  <c r="H92" i="11"/>
  <c r="J92" i="11" s="1"/>
  <c r="K93" i="11"/>
  <c r="D94" i="11" s="1"/>
  <c r="H93" i="11" l="1"/>
  <c r="K94" i="11"/>
  <c r="D95" i="11" s="1"/>
  <c r="J93" i="11" l="1"/>
  <c r="H94" i="11"/>
  <c r="J94" i="11" s="1"/>
  <c r="K95" i="11"/>
  <c r="D96" i="11" s="1"/>
  <c r="H95" i="11" l="1"/>
  <c r="K96" i="11"/>
  <c r="D97" i="11" s="1"/>
  <c r="J95" i="11" l="1"/>
  <c r="H96" i="11"/>
  <c r="J96" i="11" s="1"/>
  <c r="K97" i="11"/>
  <c r="D98" i="11" s="1"/>
  <c r="H97" i="11" l="1"/>
  <c r="J97" i="11" s="1"/>
  <c r="K98" i="11"/>
  <c r="D99" i="11" s="1"/>
  <c r="H98" i="11" l="1"/>
  <c r="J98" i="11" s="1"/>
  <c r="K99" i="11"/>
  <c r="D100" i="11" s="1"/>
  <c r="H99" i="11" l="1"/>
  <c r="K100" i="11"/>
  <c r="D101" i="11" s="1"/>
  <c r="J99" i="11" l="1"/>
  <c r="H100" i="11"/>
  <c r="J100" i="11" s="1"/>
  <c r="K101" i="11"/>
  <c r="D102" i="11" s="1"/>
  <c r="H101" i="11" l="1"/>
  <c r="K102" i="11"/>
  <c r="D103" i="11" s="1"/>
  <c r="J101" i="11" l="1"/>
  <c r="H102" i="11"/>
  <c r="J102" i="11" s="1"/>
  <c r="K103" i="11"/>
  <c r="D104" i="11" s="1"/>
  <c r="H103" i="11" l="1"/>
  <c r="K104" i="11"/>
  <c r="D105" i="11" s="1"/>
  <c r="J103" i="11" l="1"/>
  <c r="H104" i="11"/>
  <c r="J104" i="11" s="1"/>
  <c r="K105" i="11"/>
  <c r="D106" i="11" s="1"/>
  <c r="H105" i="11" l="1"/>
  <c r="K106" i="11"/>
  <c r="D107" i="11" s="1"/>
  <c r="J105" i="11" l="1"/>
  <c r="H106" i="11"/>
  <c r="J106" i="11" s="1"/>
  <c r="K107" i="11"/>
  <c r="D108" i="11" s="1"/>
  <c r="H107" i="11" l="1"/>
  <c r="K108" i="11"/>
  <c r="D109" i="11" s="1"/>
  <c r="J107" i="11" l="1"/>
  <c r="H108" i="11"/>
  <c r="J108" i="11" s="1"/>
  <c r="K109" i="11"/>
  <c r="D110" i="11" s="1"/>
  <c r="H109" i="11" l="1"/>
  <c r="J109" i="11" s="1"/>
  <c r="K110" i="11"/>
  <c r="D111" i="11" s="1"/>
  <c r="H110" i="11" l="1"/>
  <c r="J110" i="11" s="1"/>
  <c r="K111" i="11"/>
  <c r="D112" i="11" s="1"/>
  <c r="H111" i="11" l="1"/>
  <c r="K112" i="11"/>
  <c r="D113" i="11" s="1"/>
  <c r="J111" i="11" l="1"/>
  <c r="H112" i="11"/>
  <c r="J112" i="11" s="1"/>
  <c r="K113" i="11"/>
  <c r="D114" i="11" s="1"/>
  <c r="H113" i="11" l="1"/>
  <c r="K114" i="11"/>
  <c r="D115" i="11" s="1"/>
  <c r="J113" i="11" l="1"/>
  <c r="H114" i="11"/>
  <c r="J114" i="11" s="1"/>
  <c r="K115" i="11"/>
  <c r="D116" i="11" s="1"/>
  <c r="H115" i="11" l="1"/>
  <c r="K116" i="11"/>
  <c r="D117" i="11" s="1"/>
  <c r="J115" i="11" l="1"/>
  <c r="H116" i="11"/>
  <c r="J116" i="11" s="1"/>
  <c r="K117" i="11"/>
  <c r="D118" i="11" s="1"/>
  <c r="H117" i="11" l="1"/>
  <c r="K118" i="11"/>
  <c r="D119" i="11" s="1"/>
  <c r="J117" i="11" l="1"/>
  <c r="H118" i="11"/>
  <c r="J118" i="11" s="1"/>
  <c r="K119" i="11"/>
  <c r="D120" i="11" s="1"/>
  <c r="H119" i="11" l="1"/>
  <c r="K120" i="11"/>
  <c r="D121" i="11" s="1"/>
  <c r="J119" i="11" l="1"/>
  <c r="H120" i="11"/>
  <c r="J120" i="11" s="1"/>
  <c r="K121" i="11"/>
  <c r="D122" i="11" s="1"/>
  <c r="H121" i="11" l="1"/>
  <c r="J121" i="11" s="1"/>
  <c r="K122" i="11"/>
  <c r="D123" i="11" s="1"/>
  <c r="H122" i="11" l="1"/>
  <c r="J122" i="11" s="1"/>
  <c r="K123" i="11"/>
  <c r="D124" i="11" s="1"/>
  <c r="H123" i="11" l="1"/>
  <c r="K124" i="11"/>
  <c r="D125" i="11" s="1"/>
  <c r="J123" i="11" l="1"/>
  <c r="H124" i="11"/>
  <c r="J124" i="11" s="1"/>
  <c r="K125" i="11"/>
  <c r="D126" i="11" s="1"/>
  <c r="H125" i="11" l="1"/>
  <c r="K126" i="11"/>
  <c r="D127" i="11" s="1"/>
  <c r="J125" i="11" l="1"/>
  <c r="H126" i="11"/>
  <c r="J126" i="11" s="1"/>
  <c r="K127" i="11"/>
  <c r="D128" i="11" s="1"/>
  <c r="H127" i="11" l="1"/>
  <c r="J127" i="11" s="1"/>
  <c r="K128" i="11"/>
  <c r="D129" i="11" s="1"/>
  <c r="H128" i="11" l="1"/>
  <c r="K129" i="11"/>
  <c r="D130" i="11" s="1"/>
  <c r="H129" i="11" l="1"/>
  <c r="J129" i="11" s="1"/>
  <c r="J128" i="11"/>
  <c r="K130" i="11"/>
  <c r="D131" i="11" s="1"/>
  <c r="H130" i="11" l="1"/>
  <c r="K131" i="11"/>
  <c r="D132" i="11" s="1"/>
  <c r="J130" i="11" l="1"/>
  <c r="H131" i="11"/>
  <c r="J131" i="11" s="1"/>
  <c r="K132" i="11"/>
  <c r="D133" i="11" s="1"/>
  <c r="H132" i="11" l="1"/>
  <c r="J132" i="11" s="1"/>
  <c r="K133" i="11"/>
  <c r="D134" i="11" s="1"/>
  <c r="H133" i="11" l="1"/>
  <c r="J133" i="11" s="1"/>
  <c r="K134" i="11"/>
  <c r="D135" i="11" s="1"/>
  <c r="H134" i="11" l="1"/>
  <c r="J134" i="11" s="1"/>
  <c r="K135" i="11"/>
  <c r="D136" i="11" s="1"/>
  <c r="H135" i="11" l="1"/>
  <c r="K136" i="11"/>
  <c r="D137" i="11" s="1"/>
  <c r="H136" i="11" l="1"/>
  <c r="J136" i="11" s="1"/>
  <c r="J135" i="11"/>
  <c r="K137" i="11"/>
  <c r="D138" i="11" s="1"/>
  <c r="H137" i="11" l="1"/>
  <c r="K138" i="11"/>
  <c r="D139" i="11" s="1"/>
  <c r="J137" i="11" l="1"/>
  <c r="H138" i="11"/>
  <c r="J138" i="11" s="1"/>
  <c r="K139" i="11"/>
  <c r="D140" i="11" s="1"/>
  <c r="H139" i="11" l="1"/>
  <c r="J139" i="11" s="1"/>
  <c r="K140" i="11"/>
  <c r="D141" i="11" s="1"/>
  <c r="H140" i="11" l="1"/>
  <c r="J140" i="11" s="1"/>
  <c r="K141" i="11"/>
  <c r="D142" i="11" s="1"/>
  <c r="H141" i="11" l="1"/>
  <c r="K142" i="11"/>
  <c r="D143" i="11" s="1"/>
  <c r="H142" i="11" l="1"/>
  <c r="J142" i="11" s="1"/>
  <c r="J141" i="11"/>
  <c r="K143" i="11"/>
  <c r="D144" i="11" s="1"/>
  <c r="H143" i="11" l="1"/>
  <c r="J143" i="11" s="1"/>
  <c r="K144" i="11"/>
  <c r="D145" i="11" s="1"/>
  <c r="H144" i="11" l="1"/>
  <c r="J144" i="11" s="1"/>
  <c r="K145" i="11"/>
  <c r="D146" i="11" s="1"/>
  <c r="H145" i="11" l="1"/>
  <c r="J145" i="11" s="1"/>
  <c r="K146" i="11"/>
  <c r="D147" i="11" s="1"/>
  <c r="H146" i="11" l="1"/>
  <c r="J146" i="11" s="1"/>
  <c r="K147" i="11"/>
  <c r="D148" i="11" s="1"/>
  <c r="H147" i="11" l="1"/>
  <c r="K148" i="11"/>
  <c r="D149" i="11" s="1"/>
  <c r="J147" i="11" l="1"/>
  <c r="H148" i="11"/>
  <c r="J148" i="11" s="1"/>
  <c r="K149" i="11"/>
  <c r="D150" i="11" s="1"/>
  <c r="H149" i="11" l="1"/>
  <c r="J149" i="11" s="1"/>
  <c r="K150" i="11"/>
  <c r="D151" i="11" s="1"/>
  <c r="H150" i="11" l="1"/>
  <c r="J150" i="11" s="1"/>
  <c r="K151" i="11"/>
  <c r="D152" i="11" s="1"/>
  <c r="H151" i="11" l="1"/>
  <c r="J151" i="11" s="1"/>
  <c r="K152" i="11"/>
  <c r="D153" i="11" s="1"/>
  <c r="H152" i="11" l="1"/>
  <c r="J152" i="11" s="1"/>
  <c r="K153" i="11"/>
  <c r="D154" i="11" s="1"/>
  <c r="H153" i="11" l="1"/>
  <c r="J153" i="11" s="1"/>
  <c r="K154" i="11"/>
  <c r="D155" i="11" s="1"/>
  <c r="H154" i="11" l="1"/>
  <c r="J154" i="11" s="1"/>
  <c r="K155" i="11"/>
  <c r="D156" i="11" s="1"/>
  <c r="H155" i="11" l="1"/>
  <c r="J155" i="11" s="1"/>
  <c r="K156" i="11"/>
  <c r="D157" i="11" s="1"/>
  <c r="H156" i="11" l="1"/>
  <c r="J156" i="11" s="1"/>
  <c r="K157" i="11"/>
  <c r="D158" i="11" s="1"/>
  <c r="H157" i="11" l="1"/>
  <c r="J157" i="11" s="1"/>
  <c r="K158" i="11"/>
  <c r="D159" i="11" s="1"/>
  <c r="H158" i="11" l="1"/>
  <c r="J158" i="11" s="1"/>
  <c r="K159" i="11"/>
  <c r="D160" i="11" s="1"/>
  <c r="H159" i="11" l="1"/>
  <c r="K160" i="11"/>
  <c r="D161" i="11" s="1"/>
  <c r="J159" i="11" l="1"/>
  <c r="H160" i="11"/>
  <c r="J160" i="11" s="1"/>
  <c r="K161" i="11"/>
  <c r="D162" i="11" s="1"/>
  <c r="H161" i="11" l="1"/>
  <c r="J161" i="11" s="1"/>
  <c r="K162" i="11"/>
  <c r="D163" i="11" s="1"/>
  <c r="H162" i="11" l="1"/>
  <c r="J162" i="11" s="1"/>
  <c r="K163" i="11"/>
  <c r="D164" i="11" s="1"/>
  <c r="H163" i="11" l="1"/>
  <c r="J163" i="11" s="1"/>
  <c r="K164" i="11"/>
  <c r="D165" i="11" s="1"/>
  <c r="H164" i="11" l="1"/>
  <c r="J164" i="11" s="1"/>
  <c r="K165" i="11"/>
  <c r="D166" i="11" s="1"/>
  <c r="H165" i="11" l="1"/>
  <c r="J165" i="11" s="1"/>
  <c r="K166" i="11"/>
  <c r="D167" i="11" s="1"/>
  <c r="H166" i="11" l="1"/>
  <c r="J166" i="11" s="1"/>
  <c r="K167" i="11"/>
  <c r="D168" i="11" s="1"/>
  <c r="H167" i="11" l="1"/>
  <c r="J167" i="11" s="1"/>
  <c r="K168" i="11"/>
  <c r="D169" i="11" s="1"/>
  <c r="H168" i="11" l="1"/>
  <c r="J168" i="11" s="1"/>
  <c r="K169" i="11"/>
  <c r="D170" i="11" s="1"/>
  <c r="H169" i="11" l="1"/>
  <c r="J169" i="11" s="1"/>
  <c r="K170" i="11"/>
  <c r="D171" i="11" s="1"/>
  <c r="H170" i="11" l="1"/>
  <c r="J170" i="11" s="1"/>
  <c r="K171" i="11"/>
  <c r="D172" i="11" s="1"/>
  <c r="H171" i="11" l="1"/>
  <c r="J171" i="11" s="1"/>
  <c r="K172" i="11"/>
  <c r="D173" i="11" s="1"/>
  <c r="H172" i="11" l="1"/>
  <c r="K173" i="11"/>
  <c r="D174" i="11" s="1"/>
  <c r="J172" i="11" l="1"/>
  <c r="H173" i="11"/>
  <c r="J173" i="11" s="1"/>
  <c r="K174" i="11"/>
  <c r="D175" i="11" s="1"/>
  <c r="H174" i="11" l="1"/>
  <c r="J174" i="11" s="1"/>
  <c r="K175" i="11"/>
  <c r="D176" i="11" s="1"/>
  <c r="H175" i="11" l="1"/>
  <c r="J175" i="11" s="1"/>
  <c r="K176" i="11"/>
  <c r="D177" i="11" s="1"/>
  <c r="H176" i="11" l="1"/>
  <c r="J176" i="11" s="1"/>
  <c r="K177" i="11"/>
  <c r="D178" i="11" s="1"/>
  <c r="H177" i="11" l="1"/>
  <c r="J177" i="11" s="1"/>
  <c r="K178" i="11"/>
  <c r="D179" i="11" s="1"/>
  <c r="H178" i="11" l="1"/>
  <c r="J178" i="11" s="1"/>
  <c r="K179" i="11"/>
  <c r="D180" i="11" s="1"/>
  <c r="H179" i="11" l="1"/>
  <c r="J179" i="11" s="1"/>
  <c r="K180" i="11"/>
  <c r="D181" i="11" s="1"/>
  <c r="H180" i="11" l="1"/>
  <c r="J180" i="11" s="1"/>
  <c r="K181" i="11"/>
  <c r="D182" i="11" s="1"/>
  <c r="H181" i="11" l="1"/>
  <c r="J181" i="11" s="1"/>
  <c r="K182" i="11"/>
  <c r="D183" i="11" s="1"/>
  <c r="H182" i="11" l="1"/>
  <c r="J182" i="11" s="1"/>
  <c r="K183" i="11"/>
  <c r="D184" i="11" s="1"/>
  <c r="H183" i="11" l="1"/>
  <c r="K184" i="11"/>
  <c r="D185" i="11" s="1"/>
  <c r="J183" i="11" l="1"/>
  <c r="H184" i="11"/>
  <c r="J184" i="11" s="1"/>
  <c r="K185" i="11"/>
  <c r="D186" i="11" s="1"/>
  <c r="K186" i="11" l="1"/>
  <c r="D187" i="11" s="1"/>
  <c r="H185" i="11"/>
  <c r="J185" i="11" s="1"/>
  <c r="H186" i="11" l="1"/>
  <c r="J186" i="11" s="1"/>
  <c r="K187" i="11"/>
  <c r="D188" i="11" s="1"/>
  <c r="H187" i="11" l="1"/>
  <c r="J187" i="11" s="1"/>
  <c r="K188" i="11"/>
  <c r="D189" i="11" s="1"/>
  <c r="H188" i="11" l="1"/>
  <c r="J188" i="11" s="1"/>
  <c r="K189" i="11"/>
  <c r="D190" i="11" s="1"/>
  <c r="H189" i="11" l="1"/>
  <c r="J189" i="11" s="1"/>
  <c r="K190" i="11"/>
  <c r="D191" i="11" s="1"/>
  <c r="H190" i="11" l="1"/>
  <c r="J190" i="11" s="1"/>
  <c r="K191" i="11"/>
  <c r="D192" i="11" s="1"/>
  <c r="H191" i="11" l="1"/>
  <c r="J191" i="11" s="1"/>
  <c r="K192" i="11"/>
  <c r="D193" i="11" s="1"/>
  <c r="H192" i="11" l="1"/>
  <c r="J192" i="11" s="1"/>
  <c r="K193" i="11"/>
  <c r="D194" i="11" s="1"/>
  <c r="H193" i="11" l="1"/>
  <c r="J193" i="11" s="1"/>
  <c r="K194" i="11"/>
  <c r="D195" i="11" s="1"/>
  <c r="H194" i="11" l="1"/>
  <c r="J194" i="11" s="1"/>
  <c r="K195" i="11"/>
  <c r="D196" i="11" s="1"/>
  <c r="H195" i="11" l="1"/>
  <c r="J195" i="11" s="1"/>
  <c r="K196" i="11"/>
  <c r="D197" i="11" s="1"/>
  <c r="H196" i="11" l="1"/>
  <c r="J196" i="11" s="1"/>
  <c r="K197" i="11"/>
  <c r="D198" i="11" s="1"/>
  <c r="H197" i="11" l="1"/>
  <c r="J197" i="11" s="1"/>
  <c r="K198" i="11"/>
  <c r="D199" i="11" s="1"/>
  <c r="H198" i="11" l="1"/>
  <c r="J198" i="11" s="1"/>
  <c r="K199" i="11"/>
  <c r="D200" i="11" s="1"/>
  <c r="H199" i="11" l="1"/>
  <c r="J199" i="11" s="1"/>
  <c r="K200" i="11"/>
  <c r="D201" i="11" s="1"/>
  <c r="H200" i="11" l="1"/>
  <c r="J200" i="11" s="1"/>
  <c r="K201" i="11"/>
  <c r="D202" i="11" s="1"/>
  <c r="H201" i="11" l="1"/>
  <c r="J201" i="11" s="1"/>
  <c r="K202" i="11"/>
  <c r="D203" i="11" s="1"/>
  <c r="H202" i="11" l="1"/>
  <c r="J202" i="11" s="1"/>
  <c r="K203" i="11"/>
  <c r="D204" i="11" s="1"/>
  <c r="H203" i="11" l="1"/>
  <c r="J203" i="11" s="1"/>
  <c r="K204" i="11"/>
  <c r="D205" i="11" s="1"/>
  <c r="H204" i="11" l="1"/>
  <c r="J204" i="11" s="1"/>
  <c r="K205" i="11"/>
  <c r="D206" i="11" s="1"/>
  <c r="H205" i="11" l="1"/>
  <c r="J205" i="11" s="1"/>
  <c r="K206" i="11"/>
  <c r="D207" i="11" s="1"/>
  <c r="H206" i="11" l="1"/>
  <c r="J206" i="11" s="1"/>
  <c r="K207" i="11"/>
  <c r="D208" i="11" s="1"/>
  <c r="H207" i="11" l="1"/>
  <c r="J207" i="11" s="1"/>
  <c r="K208" i="11"/>
  <c r="D209" i="11" s="1"/>
  <c r="H208" i="11" l="1"/>
  <c r="J208" i="11" s="1"/>
  <c r="K209" i="11"/>
  <c r="D210" i="11" s="1"/>
  <c r="H209" i="11" l="1"/>
  <c r="J209" i="11" s="1"/>
  <c r="K210" i="11"/>
  <c r="D211" i="11" s="1"/>
  <c r="H210" i="11" l="1"/>
  <c r="J210" i="11" s="1"/>
  <c r="K211" i="11"/>
  <c r="D212" i="11" s="1"/>
  <c r="H211" i="11" l="1"/>
  <c r="J211" i="11" s="1"/>
  <c r="K212" i="11"/>
  <c r="D213" i="11" s="1"/>
  <c r="H212" i="11" l="1"/>
  <c r="J212" i="11" s="1"/>
  <c r="K213" i="11"/>
  <c r="D214" i="11" s="1"/>
  <c r="H213" i="11" l="1"/>
  <c r="J213" i="11" s="1"/>
  <c r="K214" i="11"/>
  <c r="D215" i="11" s="1"/>
  <c r="H214" i="11" l="1"/>
  <c r="J214" i="11" s="1"/>
  <c r="K215" i="11"/>
  <c r="D216" i="11" s="1"/>
  <c r="H215" i="11" l="1"/>
  <c r="J215" i="11" s="1"/>
  <c r="K216" i="11"/>
  <c r="D217" i="11" s="1"/>
  <c r="H216" i="11" l="1"/>
  <c r="J216" i="11" s="1"/>
  <c r="K217" i="11"/>
  <c r="D218" i="11" s="1"/>
  <c r="H217" i="11" l="1"/>
  <c r="J217" i="11" s="1"/>
  <c r="K218" i="11"/>
  <c r="D219" i="11" s="1"/>
  <c r="H218" i="11" l="1"/>
  <c r="J218" i="11" s="1"/>
  <c r="K219" i="11"/>
  <c r="D220" i="11" s="1"/>
  <c r="H219" i="11" l="1"/>
  <c r="J219" i="11" s="1"/>
  <c r="K220" i="11"/>
  <c r="D221" i="11" s="1"/>
  <c r="H220" i="11" l="1"/>
  <c r="J220" i="11" s="1"/>
  <c r="K221" i="11"/>
  <c r="D222" i="11" s="1"/>
  <c r="H221" i="11" l="1"/>
  <c r="J221" i="11" s="1"/>
  <c r="K222" i="11"/>
  <c r="D223" i="11" s="1"/>
  <c r="H222" i="11" l="1"/>
  <c r="J222" i="11" s="1"/>
  <c r="K223" i="11"/>
  <c r="D224" i="11" s="1"/>
  <c r="H223" i="11" l="1"/>
  <c r="J223" i="11" s="1"/>
  <c r="K224" i="11"/>
  <c r="D225" i="11" s="1"/>
  <c r="H224" i="11" l="1"/>
  <c r="J224" i="11" s="1"/>
  <c r="K225" i="11"/>
  <c r="D226" i="11" s="1"/>
  <c r="H225" i="11" l="1"/>
  <c r="J225" i="11" s="1"/>
  <c r="K226" i="11"/>
  <c r="D227" i="11" s="1"/>
  <c r="H226" i="11" l="1"/>
  <c r="J226" i="11" s="1"/>
  <c r="K227" i="11"/>
  <c r="D228" i="11" s="1"/>
  <c r="H227" i="11" l="1"/>
  <c r="J227" i="11" s="1"/>
  <c r="K228" i="11"/>
  <c r="D229" i="11" s="1"/>
  <c r="H228" i="11" l="1"/>
  <c r="J228" i="11" s="1"/>
  <c r="K229" i="11"/>
  <c r="D230" i="11" s="1"/>
  <c r="H229" i="11" l="1"/>
  <c r="J229" i="11" s="1"/>
  <c r="K230" i="11"/>
  <c r="D231" i="11" s="1"/>
  <c r="H230" i="11" l="1"/>
  <c r="J230" i="11" s="1"/>
  <c r="K231" i="11"/>
  <c r="D232" i="11" s="1"/>
  <c r="H231" i="11" l="1"/>
  <c r="J231" i="11" s="1"/>
  <c r="K232" i="11"/>
  <c r="D233" i="11" s="1"/>
  <c r="H232" i="11" l="1"/>
  <c r="J232" i="11" s="1"/>
  <c r="K233" i="11"/>
  <c r="D234" i="11" s="1"/>
  <c r="H233" i="11" l="1"/>
  <c r="J233" i="11" s="1"/>
  <c r="K234" i="11"/>
  <c r="D235" i="11" s="1"/>
  <c r="H234" i="11" l="1"/>
  <c r="J234" i="11" s="1"/>
  <c r="K235" i="11"/>
  <c r="D236" i="11" s="1"/>
  <c r="K236" i="11" l="1"/>
  <c r="D237" i="11" s="1"/>
  <c r="H235" i="11"/>
  <c r="J235" i="11" s="1"/>
  <c r="H236" i="11" l="1"/>
  <c r="J236" i="11" s="1"/>
  <c r="K237" i="11"/>
  <c r="D238" i="11" s="1"/>
  <c r="H237" i="11" l="1"/>
  <c r="J237" i="11" s="1"/>
  <c r="K238" i="11"/>
  <c r="D239" i="11" s="1"/>
  <c r="H238" i="11" l="1"/>
  <c r="J238" i="11" s="1"/>
  <c r="K239" i="11"/>
  <c r="D240" i="11" s="1"/>
  <c r="H239" i="11" l="1"/>
  <c r="J239" i="11" s="1"/>
  <c r="K240" i="11"/>
  <c r="D241" i="11" s="1"/>
  <c r="H240" i="11" l="1"/>
  <c r="J240" i="11" s="1"/>
  <c r="K241" i="11"/>
  <c r="D242" i="11" s="1"/>
  <c r="H241" i="11" l="1"/>
  <c r="J241" i="11" s="1"/>
  <c r="K242" i="11"/>
  <c r="D243" i="11" s="1"/>
  <c r="K243" i="11" l="1"/>
  <c r="D244" i="11" s="1"/>
  <c r="H242" i="11"/>
  <c r="J242" i="11" s="1"/>
  <c r="H243" i="11" l="1"/>
  <c r="J243" i="11" s="1"/>
  <c r="K244" i="11"/>
  <c r="D245" i="11" s="1"/>
  <c r="H244" i="11" l="1"/>
  <c r="J244" i="11" s="1"/>
  <c r="K245" i="11"/>
  <c r="D246" i="11" s="1"/>
  <c r="H245" i="11" l="1"/>
  <c r="J245" i="11" s="1"/>
  <c r="K246" i="11"/>
  <c r="D247" i="11" s="1"/>
  <c r="H246" i="11" l="1"/>
  <c r="J246" i="11" s="1"/>
  <c r="K247" i="11"/>
  <c r="D248" i="11" s="1"/>
  <c r="H247" i="11" l="1"/>
  <c r="J247" i="11" s="1"/>
  <c r="K248" i="11"/>
  <c r="D249" i="11" s="1"/>
  <c r="H248" i="11" l="1"/>
  <c r="J248" i="11" s="1"/>
  <c r="K249" i="11"/>
  <c r="D250" i="11" s="1"/>
  <c r="H249" i="11" l="1"/>
  <c r="J249" i="11" s="1"/>
  <c r="K250" i="11"/>
  <c r="D251" i="11" s="1"/>
  <c r="H250" i="11" l="1"/>
  <c r="J250" i="11" s="1"/>
  <c r="K251" i="11"/>
  <c r="D252" i="11" s="1"/>
  <c r="H251" i="11" l="1"/>
  <c r="J251" i="11" s="1"/>
  <c r="K252" i="11"/>
  <c r="D253" i="11" s="1"/>
  <c r="K253" i="11" l="1"/>
  <c r="D254" i="11" s="1"/>
  <c r="H252" i="11"/>
  <c r="J252" i="11" s="1"/>
  <c r="H253" i="11" l="1"/>
  <c r="J253" i="11" s="1"/>
  <c r="K254" i="11"/>
  <c r="D255" i="11" s="1"/>
  <c r="H254" i="11" l="1"/>
  <c r="J254" i="11" s="1"/>
  <c r="K255" i="11"/>
  <c r="D256" i="11" s="1"/>
  <c r="H255" i="11" l="1"/>
  <c r="J255" i="11" s="1"/>
  <c r="K256" i="11"/>
  <c r="D257" i="11" s="1"/>
  <c r="H256" i="11" l="1"/>
  <c r="J256" i="11" s="1"/>
  <c r="K257" i="11"/>
  <c r="D258" i="11" s="1"/>
  <c r="H257" i="11" l="1"/>
  <c r="J257" i="11" s="1"/>
  <c r="K258" i="11"/>
  <c r="D259" i="11" s="1"/>
  <c r="H258" i="11" l="1"/>
  <c r="J258" i="11" s="1"/>
  <c r="K259" i="11"/>
  <c r="D260" i="11" s="1"/>
  <c r="H259" i="11" l="1"/>
  <c r="J259" i="11" s="1"/>
  <c r="K260" i="11"/>
  <c r="D261" i="11" s="1"/>
  <c r="H260" i="11" l="1"/>
  <c r="J260" i="11" s="1"/>
  <c r="K261" i="11"/>
  <c r="D262" i="11" s="1"/>
  <c r="H261" i="11" l="1"/>
  <c r="J261" i="11" s="1"/>
  <c r="K262" i="11"/>
  <c r="D263" i="11" s="1"/>
  <c r="H262" i="11" l="1"/>
  <c r="J262" i="11" s="1"/>
  <c r="K263" i="11"/>
  <c r="D264" i="11" s="1"/>
  <c r="H263" i="11" l="1"/>
  <c r="J263" i="11" s="1"/>
  <c r="K264" i="11"/>
  <c r="D265" i="11" s="1"/>
  <c r="H264" i="11" l="1"/>
  <c r="J264" i="11" s="1"/>
  <c r="K265" i="11"/>
  <c r="D266" i="11" s="1"/>
  <c r="H265" i="11" l="1"/>
  <c r="J265" i="11" s="1"/>
  <c r="K266" i="11"/>
  <c r="D267" i="11" s="1"/>
  <c r="H266" i="11" l="1"/>
  <c r="J266" i="11" s="1"/>
  <c r="K267" i="11"/>
  <c r="D268" i="11" s="1"/>
  <c r="H267" i="11" l="1"/>
  <c r="J267" i="11" s="1"/>
  <c r="K268" i="11"/>
  <c r="D269" i="11" s="1"/>
  <c r="H268" i="11" l="1"/>
  <c r="J268" i="11" s="1"/>
  <c r="K269" i="11"/>
  <c r="D270" i="11" s="1"/>
  <c r="H269" i="11" l="1"/>
  <c r="J269" i="11" s="1"/>
  <c r="K270" i="11"/>
  <c r="D271" i="11" s="1"/>
  <c r="H270" i="11" l="1"/>
  <c r="J270" i="11" s="1"/>
  <c r="K271" i="11"/>
  <c r="D272" i="11" s="1"/>
  <c r="H271" i="11" l="1"/>
  <c r="J271" i="11" s="1"/>
  <c r="K272" i="11"/>
  <c r="D273" i="11" s="1"/>
  <c r="H272" i="11" l="1"/>
  <c r="J272" i="11" s="1"/>
  <c r="K273" i="11"/>
  <c r="D274" i="11" s="1"/>
  <c r="H273" i="11" l="1"/>
  <c r="J273" i="11" s="1"/>
  <c r="K274" i="11"/>
  <c r="D275" i="11" s="1"/>
  <c r="H274" i="11" l="1"/>
  <c r="J274" i="11" s="1"/>
  <c r="K275" i="11"/>
  <c r="D276" i="11" s="1"/>
  <c r="H275" i="11" l="1"/>
  <c r="J275" i="11" s="1"/>
  <c r="K276" i="11"/>
  <c r="D277" i="11" s="1"/>
  <c r="H276" i="11" l="1"/>
  <c r="J276" i="11" s="1"/>
  <c r="K277" i="11"/>
  <c r="D278" i="11" s="1"/>
  <c r="H277" i="11" l="1"/>
  <c r="J277" i="11" s="1"/>
  <c r="K278" i="11"/>
  <c r="D279" i="11" s="1"/>
  <c r="H278" i="11" l="1"/>
  <c r="J278" i="11" s="1"/>
  <c r="K279" i="11"/>
  <c r="D280" i="11" s="1"/>
  <c r="H279" i="11" l="1"/>
  <c r="J279" i="11" s="1"/>
  <c r="K280" i="11"/>
  <c r="D281" i="11" s="1"/>
  <c r="H280" i="11" l="1"/>
  <c r="J280" i="11" s="1"/>
  <c r="K281" i="11"/>
  <c r="D282" i="11" s="1"/>
  <c r="H281" i="11" l="1"/>
  <c r="J281" i="11" s="1"/>
  <c r="K282" i="11"/>
  <c r="D283" i="11" s="1"/>
  <c r="H282" i="11" l="1"/>
  <c r="J282" i="11" s="1"/>
  <c r="K283" i="11"/>
  <c r="D284" i="11" s="1"/>
  <c r="H283" i="11" l="1"/>
  <c r="J283" i="11" s="1"/>
  <c r="K284" i="11"/>
  <c r="D285" i="11" s="1"/>
  <c r="H284" i="11" l="1"/>
  <c r="J284" i="11" s="1"/>
  <c r="K285" i="11"/>
  <c r="D286" i="11" s="1"/>
  <c r="H285" i="11" l="1"/>
  <c r="J285" i="11" s="1"/>
  <c r="K286" i="11"/>
  <c r="D287" i="11" s="1"/>
  <c r="H286" i="11" l="1"/>
  <c r="J286" i="11" s="1"/>
  <c r="K287" i="11"/>
  <c r="D288" i="11" s="1"/>
  <c r="H287" i="11" l="1"/>
  <c r="J287" i="11" s="1"/>
  <c r="K288" i="11"/>
  <c r="D289" i="11" s="1"/>
  <c r="H288" i="11" l="1"/>
  <c r="J288" i="11" s="1"/>
  <c r="K289" i="11"/>
  <c r="D290" i="11" s="1"/>
  <c r="H289" i="11" l="1"/>
  <c r="J289" i="11" s="1"/>
  <c r="K290" i="11"/>
  <c r="D291" i="11" s="1"/>
  <c r="H290" i="11" l="1"/>
  <c r="J290" i="11" s="1"/>
  <c r="K291" i="11"/>
  <c r="D292" i="11" s="1"/>
  <c r="H291" i="11" l="1"/>
  <c r="J291" i="11" s="1"/>
  <c r="K292" i="11"/>
  <c r="D293" i="11" s="1"/>
  <c r="H292" i="11" l="1"/>
  <c r="J292" i="11" s="1"/>
  <c r="K293" i="11"/>
  <c r="D294" i="11" s="1"/>
  <c r="H293" i="11" l="1"/>
  <c r="J293" i="11" s="1"/>
  <c r="K294" i="11"/>
  <c r="D295" i="11" s="1"/>
  <c r="H294" i="11" l="1"/>
  <c r="J294" i="11" s="1"/>
  <c r="K295" i="11"/>
  <c r="D296" i="11" s="1"/>
  <c r="H295" i="11" l="1"/>
  <c r="J295" i="11" s="1"/>
  <c r="K296" i="11"/>
  <c r="D297" i="11" s="1"/>
  <c r="H296" i="11" l="1"/>
  <c r="J296" i="11" s="1"/>
  <c r="K297" i="11"/>
  <c r="D298" i="11" s="1"/>
  <c r="H297" i="11" l="1"/>
  <c r="J297" i="11" s="1"/>
  <c r="K298" i="11"/>
  <c r="D299" i="11" s="1"/>
  <c r="H298" i="11" l="1"/>
  <c r="J298" i="11" s="1"/>
  <c r="K299" i="11"/>
  <c r="D300" i="11" s="1"/>
  <c r="H299" i="11" l="1"/>
  <c r="J299" i="11" s="1"/>
  <c r="K300" i="11"/>
  <c r="D301" i="11" s="1"/>
  <c r="H300" i="11" l="1"/>
  <c r="J300" i="11" s="1"/>
  <c r="K301" i="11"/>
  <c r="D302" i="11" s="1"/>
  <c r="H301" i="11" l="1"/>
  <c r="J301" i="11" s="1"/>
  <c r="K302" i="11"/>
  <c r="D303" i="11" s="1"/>
  <c r="H302" i="11" l="1"/>
  <c r="J302" i="11" s="1"/>
  <c r="K303" i="11"/>
  <c r="D304" i="11" s="1"/>
  <c r="K304" i="11" l="1"/>
  <c r="D305" i="11" s="1"/>
  <c r="H303" i="11"/>
  <c r="J303" i="11" s="1"/>
  <c r="H304" i="11" l="1"/>
  <c r="J304" i="11" s="1"/>
  <c r="K305" i="11"/>
  <c r="D306" i="11" s="1"/>
  <c r="H305" i="11" l="1"/>
  <c r="J305" i="11" s="1"/>
  <c r="K306" i="11"/>
  <c r="D307" i="11" s="1"/>
  <c r="K307" i="11" l="1"/>
  <c r="D308" i="11" s="1"/>
  <c r="H306" i="11"/>
  <c r="J306" i="11" s="1"/>
  <c r="H307" i="11" l="1"/>
  <c r="J307" i="11" s="1"/>
  <c r="K308" i="11"/>
  <c r="D309" i="11" s="1"/>
  <c r="H308" i="11" l="1"/>
  <c r="J308" i="11" s="1"/>
  <c r="K309" i="11"/>
  <c r="D310" i="11" s="1"/>
  <c r="H309" i="11" l="1"/>
  <c r="J309" i="11" s="1"/>
  <c r="K310" i="11"/>
  <c r="D311" i="11" s="1"/>
  <c r="H310" i="11" l="1"/>
  <c r="J310" i="11" s="1"/>
  <c r="K311" i="11"/>
  <c r="D312" i="11" s="1"/>
  <c r="H311" i="11" l="1"/>
  <c r="J311" i="11" s="1"/>
  <c r="K312" i="11"/>
  <c r="D313" i="11" s="1"/>
  <c r="H312" i="11" l="1"/>
  <c r="J312" i="11" s="1"/>
  <c r="K313" i="11"/>
  <c r="D314" i="11" s="1"/>
  <c r="H313" i="11" l="1"/>
  <c r="J313" i="11" s="1"/>
  <c r="K314" i="11"/>
  <c r="D315" i="11" s="1"/>
  <c r="H314" i="11" l="1"/>
  <c r="J314" i="11" s="1"/>
  <c r="K315" i="11"/>
  <c r="D316" i="11" s="1"/>
  <c r="H315" i="11" l="1"/>
  <c r="J315" i="11" s="1"/>
  <c r="K316" i="11"/>
  <c r="D317" i="11" s="1"/>
  <c r="H316" i="11" l="1"/>
  <c r="J316" i="11" s="1"/>
  <c r="K317" i="11"/>
  <c r="D318" i="11" s="1"/>
  <c r="H317" i="11" l="1"/>
  <c r="J317" i="11" s="1"/>
  <c r="K318" i="11"/>
  <c r="D319" i="11" s="1"/>
  <c r="H318" i="11" l="1"/>
  <c r="J318" i="11" s="1"/>
  <c r="K319" i="11"/>
  <c r="D320" i="11" s="1"/>
  <c r="H319" i="11" l="1"/>
  <c r="J319" i="11" s="1"/>
  <c r="K320" i="11"/>
  <c r="D321" i="11" s="1"/>
  <c r="H320" i="11" l="1"/>
  <c r="J320" i="11" s="1"/>
  <c r="K321" i="11"/>
  <c r="D322" i="11" s="1"/>
  <c r="H321" i="11" l="1"/>
  <c r="J321" i="11" s="1"/>
  <c r="K322" i="11"/>
  <c r="D323" i="11" s="1"/>
  <c r="H322" i="11" l="1"/>
  <c r="J322" i="11" s="1"/>
  <c r="K323" i="11"/>
  <c r="D324" i="11" s="1"/>
  <c r="K324" i="11" l="1"/>
  <c r="D325" i="11" s="1"/>
  <c r="H324" i="11"/>
  <c r="J324" i="11" s="1"/>
  <c r="H323" i="11"/>
  <c r="J323" i="11" s="1"/>
  <c r="K325" i="11" l="1"/>
  <c r="D326" i="11" s="1"/>
  <c r="H325" i="11" l="1"/>
  <c r="J325" i="11" s="1"/>
  <c r="K326" i="11"/>
  <c r="D327" i="11" s="1"/>
  <c r="H326" i="11" l="1"/>
  <c r="J326" i="11" s="1"/>
  <c r="K327" i="11"/>
  <c r="D328" i="11" s="1"/>
  <c r="H327" i="11" l="1"/>
  <c r="J327" i="11" s="1"/>
  <c r="K328" i="11"/>
  <c r="D329" i="11" s="1"/>
  <c r="H328" i="11" l="1"/>
  <c r="J328" i="11" s="1"/>
  <c r="K329" i="11"/>
  <c r="D330" i="11" s="1"/>
  <c r="H329" i="11" l="1"/>
  <c r="J329" i="11" s="1"/>
  <c r="K330" i="11"/>
  <c r="D331" i="11" s="1"/>
  <c r="H330" i="11" l="1"/>
  <c r="J330" i="11" s="1"/>
  <c r="K331" i="11"/>
  <c r="D332" i="11" s="1"/>
  <c r="H331" i="11" l="1"/>
  <c r="J331" i="11" s="1"/>
  <c r="K332" i="11"/>
  <c r="D333" i="11" s="1"/>
  <c r="H332" i="11" l="1"/>
  <c r="J332" i="11" s="1"/>
  <c r="K333" i="11"/>
  <c r="D334" i="11" s="1"/>
  <c r="H333" i="11" l="1"/>
  <c r="J333" i="11" s="1"/>
  <c r="K334" i="11"/>
  <c r="D335" i="11" s="1"/>
  <c r="H334" i="11" l="1"/>
  <c r="J334" i="11" s="1"/>
  <c r="K335" i="11"/>
  <c r="D336" i="11" s="1"/>
  <c r="H335" i="11" l="1"/>
  <c r="J335" i="11" s="1"/>
  <c r="K336" i="11"/>
  <c r="D337" i="11" s="1"/>
  <c r="H336" i="11" l="1"/>
  <c r="J336" i="11" s="1"/>
  <c r="K337" i="11"/>
  <c r="D338" i="11" s="1"/>
  <c r="H337" i="11" l="1"/>
  <c r="J337" i="11" s="1"/>
  <c r="K338" i="11"/>
  <c r="D339" i="11" s="1"/>
  <c r="H338" i="11" l="1"/>
  <c r="J338" i="11" s="1"/>
  <c r="K339" i="11"/>
  <c r="D340" i="11" s="1"/>
  <c r="H339" i="11" l="1"/>
  <c r="J339" i="11" s="1"/>
  <c r="K340" i="11"/>
  <c r="D341" i="11" s="1"/>
  <c r="H340" i="11" l="1"/>
  <c r="J340" i="11" s="1"/>
  <c r="K341" i="11"/>
  <c r="D342" i="11" s="1"/>
  <c r="H341" i="11" l="1"/>
  <c r="J341" i="11" s="1"/>
  <c r="K342" i="11"/>
  <c r="D343" i="11" s="1"/>
  <c r="H342" i="11" l="1"/>
  <c r="J342" i="11" s="1"/>
  <c r="K343" i="11"/>
  <c r="D344" i="11" s="1"/>
  <c r="H343" i="11" l="1"/>
  <c r="J343" i="11" s="1"/>
  <c r="K344" i="11"/>
  <c r="D345" i="11" s="1"/>
  <c r="H344" i="11" l="1"/>
  <c r="J344" i="11" s="1"/>
  <c r="K345" i="11"/>
  <c r="D346" i="11" s="1"/>
  <c r="H345" i="11" l="1"/>
  <c r="J345" i="11" s="1"/>
  <c r="K346" i="11"/>
  <c r="D347" i="11" s="1"/>
  <c r="H346" i="11" l="1"/>
  <c r="J346" i="11" s="1"/>
  <c r="K347" i="11"/>
  <c r="D348" i="11" s="1"/>
  <c r="H347" i="11" l="1"/>
  <c r="J347" i="11" s="1"/>
  <c r="K348" i="11"/>
  <c r="D349" i="11" s="1"/>
  <c r="H348" i="11" l="1"/>
  <c r="J348" i="11" s="1"/>
  <c r="K349" i="11"/>
  <c r="D350" i="11" s="1"/>
  <c r="H349" i="11" l="1"/>
  <c r="J349" i="11" s="1"/>
  <c r="K350" i="11"/>
  <c r="D351" i="11" s="1"/>
  <c r="H350" i="11" l="1"/>
  <c r="J350" i="11" s="1"/>
  <c r="K351" i="11"/>
  <c r="D352" i="11" s="1"/>
  <c r="H351" i="11" l="1"/>
  <c r="J351" i="11" s="1"/>
  <c r="K352" i="11"/>
  <c r="D353" i="11" s="1"/>
  <c r="H352" i="11" l="1"/>
  <c r="J352" i="11" s="1"/>
  <c r="K353" i="11"/>
  <c r="D354" i="11" s="1"/>
  <c r="H353" i="11" l="1"/>
  <c r="J353" i="11" s="1"/>
  <c r="K354" i="11"/>
  <c r="D355" i="11" s="1"/>
  <c r="H354" i="11" l="1"/>
  <c r="J354" i="11" s="1"/>
  <c r="K355" i="11"/>
  <c r="D356" i="11" s="1"/>
  <c r="H355" i="11" l="1"/>
  <c r="J355" i="11" s="1"/>
  <c r="K356" i="11"/>
  <c r="D357" i="11" s="1"/>
  <c r="H356" i="11" l="1"/>
  <c r="J356" i="11" s="1"/>
  <c r="K357" i="11"/>
  <c r="D358" i="11" s="1"/>
  <c r="H357" i="11" l="1"/>
  <c r="J357" i="11" s="1"/>
  <c r="K358" i="11"/>
  <c r="D359" i="11" s="1"/>
  <c r="H358" i="11" l="1"/>
  <c r="J358" i="11" s="1"/>
  <c r="K359" i="11"/>
  <c r="D360" i="11" s="1"/>
  <c r="H359" i="11" l="1"/>
  <c r="J359" i="11" s="1"/>
  <c r="K360" i="11"/>
  <c r="D361" i="11" s="1"/>
  <c r="H360" i="11" l="1"/>
  <c r="J360" i="11" s="1"/>
  <c r="K361" i="11"/>
  <c r="D362" i="11" s="1"/>
  <c r="H361" i="11" l="1"/>
  <c r="J361" i="11" s="1"/>
  <c r="K362" i="11"/>
  <c r="D363" i="11" s="1"/>
  <c r="H362" i="11" l="1"/>
  <c r="J362" i="11" s="1"/>
  <c r="K363" i="11"/>
  <c r="D364" i="11" s="1"/>
  <c r="H363" i="11" l="1"/>
  <c r="J363" i="11" s="1"/>
  <c r="K364" i="11"/>
  <c r="D365" i="11" s="1"/>
  <c r="H364" i="11" l="1"/>
  <c r="J364" i="11" s="1"/>
  <c r="K365" i="11"/>
  <c r="D366" i="11" s="1"/>
  <c r="H365" i="11" l="1"/>
  <c r="J365" i="11" s="1"/>
  <c r="K366" i="11"/>
  <c r="D367" i="11" s="1"/>
  <c r="H366" i="11" l="1"/>
  <c r="J366" i="11" s="1"/>
  <c r="K367" i="11"/>
  <c r="D368" i="11" s="1"/>
  <c r="H367" i="11" l="1"/>
  <c r="J367" i="11" s="1"/>
  <c r="K368" i="11"/>
  <c r="D369" i="11" s="1"/>
  <c r="H368" i="11" l="1"/>
  <c r="J368" i="11" s="1"/>
  <c r="K369" i="11"/>
  <c r="D370" i="11" s="1"/>
  <c r="H369" i="11" l="1"/>
  <c r="J369" i="11" s="1"/>
  <c r="K370" i="11"/>
  <c r="D371" i="11" s="1"/>
  <c r="H370" i="11" l="1"/>
  <c r="J370" i="11" s="1"/>
  <c r="K371" i="11"/>
  <c r="D372" i="11" s="1"/>
  <c r="H371" i="11" l="1"/>
  <c r="J371" i="11" s="1"/>
  <c r="K372" i="11"/>
  <c r="D373" i="11" s="1"/>
  <c r="H372" i="11" l="1"/>
  <c r="J372" i="11" s="1"/>
  <c r="K373" i="11"/>
  <c r="D374" i="11" s="1"/>
  <c r="K374" i="11" s="1"/>
  <c r="H374" i="11" s="1"/>
  <c r="H373" i="11" l="1"/>
  <c r="J373" i="11" s="1"/>
  <c r="D30" i="3"/>
  <c r="D31" i="3" s="1"/>
  <c r="D16" i="3" s="1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J374" i="11"/>
  <c r="J12" i="11" s="1"/>
  <c r="O16" i="11" s="1"/>
  <c r="H12" i="11"/>
  <c r="E29" i="3" l="1"/>
  <c r="E31" i="3" s="1"/>
  <c r="E16" i="3" s="1"/>
  <c r="D18" i="3"/>
  <c r="O15" i="11"/>
  <c r="H6" i="11"/>
  <c r="F29" i="3" l="1"/>
  <c r="F31" i="3" s="1"/>
  <c r="F16" i="3" s="1"/>
  <c r="E18" i="3"/>
  <c r="K55" i="3"/>
  <c r="C38" i="3" s="1"/>
  <c r="G29" i="3" l="1"/>
  <c r="G31" i="3" s="1"/>
  <c r="G16" i="3" s="1"/>
  <c r="F18" i="3"/>
  <c r="H29" i="3" l="1"/>
  <c r="H31" i="3" s="1"/>
  <c r="H16" i="3" s="1"/>
  <c r="G18" i="3"/>
  <c r="I29" i="3" l="1"/>
  <c r="I31" i="3" s="1"/>
  <c r="I16" i="3" s="1"/>
  <c r="H18" i="3"/>
  <c r="J29" i="3" l="1"/>
  <c r="J31" i="3" s="1"/>
  <c r="J16" i="3" s="1"/>
  <c r="I18" i="3"/>
  <c r="K29" i="3" l="1"/>
  <c r="K31" i="3" s="1"/>
  <c r="J18" i="3"/>
  <c r="J20" i="3" s="1"/>
  <c r="L29" i="3" l="1"/>
  <c r="L31" i="3" s="1"/>
  <c r="K18" i="3"/>
  <c r="K20" i="3" s="1"/>
  <c r="M29" i="3" l="1"/>
  <c r="M31" i="3" s="1"/>
  <c r="L18" i="3"/>
  <c r="L20" i="3" s="1"/>
  <c r="N29" i="3" l="1"/>
  <c r="N31" i="3" s="1"/>
  <c r="M18" i="3"/>
  <c r="M20" i="3" s="1"/>
  <c r="O29" i="3" l="1"/>
  <c r="O31" i="3" s="1"/>
  <c r="N18" i="3"/>
  <c r="N20" i="3" s="1"/>
  <c r="P29" i="3" l="1"/>
  <c r="P31" i="3" s="1"/>
  <c r="O18" i="3"/>
  <c r="O20" i="3" s="1"/>
  <c r="Q29" i="3" l="1"/>
  <c r="Q31" i="3" s="1"/>
  <c r="P18" i="3"/>
  <c r="P20" i="3" s="1"/>
  <c r="R29" i="3" l="1"/>
  <c r="R31" i="3" s="1"/>
  <c r="R18" i="3" s="1"/>
  <c r="R20" i="3" s="1"/>
  <c r="Q18" i="3"/>
  <c r="Q20" i="3" s="1"/>
  <c r="C39" i="3" l="1"/>
  <c r="K43" i="2" s="1"/>
  <c r="M43" i="2" s="1"/>
  <c r="C22" i="3"/>
  <c r="C40" i="3" s="1"/>
  <c r="K42" i="2" l="1"/>
  <c r="M4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<sst xmlns="http://schemas.openxmlformats.org/spreadsheetml/2006/main" count="330" uniqueCount="266">
  <si>
    <t>Content by Tabs</t>
  </si>
  <si>
    <t xml:space="preserve"> Instuctions</t>
  </si>
  <si>
    <t>This tab -read before moving on the the following tabs</t>
  </si>
  <si>
    <t>Dashboard</t>
  </si>
  <si>
    <t>The dashboard tab serves as both a consice summary of key assumptions and  the central location to input the majority of project spacific data</t>
  </si>
  <si>
    <t xml:space="preserve">Detialed input </t>
  </si>
  <si>
    <t>Detailed Monthy Cash flow through the first 12 months</t>
  </si>
  <si>
    <t>Annual 15 -years cash flow</t>
  </si>
  <si>
    <t>* Insert information on each Tab by typing either text, $ or # in the  highlighted box.</t>
  </si>
  <si>
    <t>INPUT</t>
  </si>
  <si>
    <t xml:space="preserve">Project Overview </t>
  </si>
  <si>
    <t>Sources &amp; Uses of Funds</t>
  </si>
  <si>
    <t>Occupancy</t>
  </si>
  <si>
    <t>Project Name</t>
  </si>
  <si>
    <t>Sources of Funds</t>
  </si>
  <si>
    <t>Per Unit</t>
  </si>
  <si>
    <t>Residential Vancancy</t>
  </si>
  <si>
    <t>Project Type</t>
  </si>
  <si>
    <t>Total Number of Units</t>
  </si>
  <si>
    <t>Address</t>
  </si>
  <si>
    <t>Sponsor (GP) Equity</t>
  </si>
  <si>
    <t>Total Sq feet</t>
  </si>
  <si>
    <t>City</t>
  </si>
  <si>
    <t>State</t>
  </si>
  <si>
    <t>TN</t>
  </si>
  <si>
    <t>Average Monthy rent per Unit</t>
  </si>
  <si>
    <t>Total Sources</t>
  </si>
  <si>
    <t>Total Units</t>
  </si>
  <si>
    <t>Annual Income Increase</t>
  </si>
  <si>
    <t>Building Style</t>
  </si>
  <si>
    <t>Uses of Funds</t>
  </si>
  <si>
    <t>Debt Detail</t>
  </si>
  <si>
    <t>Soft Costs</t>
  </si>
  <si>
    <t>Acquisition Detail</t>
  </si>
  <si>
    <t>Total Uses</t>
  </si>
  <si>
    <t>Amortization (Years)</t>
  </si>
  <si>
    <t xml:space="preserve">Purchase Price </t>
  </si>
  <si>
    <t xml:space="preserve">Term </t>
  </si>
  <si>
    <t>Land</t>
  </si>
  <si>
    <t>DSCR -(Debt Service Ratio)</t>
  </si>
  <si>
    <t>Buildings</t>
  </si>
  <si>
    <t xml:space="preserve">Market Study </t>
  </si>
  <si>
    <t>LTV (Loan to Value)</t>
  </si>
  <si>
    <t>Appraisal</t>
  </si>
  <si>
    <t>Closing Costs</t>
  </si>
  <si>
    <t>Survey</t>
  </si>
  <si>
    <t>Architectural</t>
  </si>
  <si>
    <t>Total Soft Costs</t>
  </si>
  <si>
    <t>Hard Cost Per Foot</t>
  </si>
  <si>
    <t>Hard Cost Per Unit</t>
  </si>
  <si>
    <t>Real Estate Dashboard Summary</t>
  </si>
  <si>
    <t>Zip</t>
  </si>
  <si>
    <t>Purchase Decision</t>
  </si>
  <si>
    <t>Metrics</t>
  </si>
  <si>
    <t>Target</t>
  </si>
  <si>
    <t>Decision</t>
  </si>
  <si>
    <t>Cap Rate</t>
  </si>
  <si>
    <t>Capital Expenditures</t>
  </si>
  <si>
    <t>Month</t>
  </si>
  <si>
    <t>Annual</t>
  </si>
  <si>
    <t>Pro Forma</t>
  </si>
  <si>
    <t>Actual</t>
  </si>
  <si>
    <t>Expenses</t>
  </si>
  <si>
    <t>Assumption (% effective rent)</t>
  </si>
  <si>
    <t>Prop Taxes</t>
  </si>
  <si>
    <t>PM Fees</t>
  </si>
  <si>
    <t>Leasing Fee</t>
  </si>
  <si>
    <t>Prop Insurance</t>
  </si>
  <si>
    <t>Repairs &amp; Maint</t>
  </si>
  <si>
    <t>Cap Ex Reserve</t>
  </si>
  <si>
    <t>Other/Misc</t>
  </si>
  <si>
    <t>Total</t>
  </si>
  <si>
    <t>Net Operating Income</t>
  </si>
  <si>
    <t>Property Pro-Forma</t>
  </si>
  <si>
    <t>Revenue:</t>
  </si>
  <si>
    <t>Base Rental Income</t>
  </si>
  <si>
    <t>Concessions &amp; Free Rent</t>
  </si>
  <si>
    <t>Expense Reimbursements</t>
  </si>
  <si>
    <t>Effective Gross Revenue:</t>
  </si>
  <si>
    <t>Expenses:</t>
  </si>
  <si>
    <t>Property Insurance</t>
  </si>
  <si>
    <t>Total Expenses:</t>
  </si>
  <si>
    <t>NOI Margin</t>
  </si>
  <si>
    <t>Capital Costs paid from Reserves</t>
  </si>
  <si>
    <t>Adjusted Net Operating Income</t>
  </si>
  <si>
    <t>Adjusted NOI Margin</t>
  </si>
  <si>
    <t>Cash Interest Expense on Senior Debt</t>
  </si>
  <si>
    <t>Cash Interest Expense on Mezzanine</t>
  </si>
  <si>
    <t>Senior Debt Principal Repayment</t>
  </si>
  <si>
    <t>Debt | Financing Costs</t>
  </si>
  <si>
    <t>Cash Flow | Equity Investors</t>
  </si>
  <si>
    <t>Ending Senior Debt Balance</t>
  </si>
  <si>
    <t>Ending Mezzanine Balance</t>
  </si>
  <si>
    <t>Debt Balance</t>
  </si>
  <si>
    <t>Real Estate 15 Year Projections</t>
  </si>
  <si>
    <t>Year</t>
  </si>
  <si>
    <t>% Annual 
Increase</t>
  </si>
  <si>
    <t>INCOME</t>
  </si>
  <si>
    <t>Gross Rental Income</t>
  </si>
  <si>
    <t>Vacancy Rate</t>
  </si>
  <si>
    <t>Effective Gross Rent</t>
  </si>
  <si>
    <t>EXPENSES</t>
  </si>
  <si>
    <t>Other</t>
  </si>
  <si>
    <t>Total Expenses</t>
  </si>
  <si>
    <t>Single Family</t>
  </si>
  <si>
    <t>Table of Contents</t>
  </si>
  <si>
    <t>Beginning Balance</t>
  </si>
  <si>
    <t>Ending Balance</t>
  </si>
  <si>
    <t>Scheduled payment</t>
  </si>
  <si>
    <t>Total interest</t>
  </si>
  <si>
    <t>DO NOT DELETE</t>
  </si>
  <si>
    <t>New Construction Development</t>
  </si>
  <si>
    <t>Acquisition - Single Family</t>
  </si>
  <si>
    <t>Acquisition - Multifamily</t>
  </si>
  <si>
    <t>Acquisition - BRRR</t>
  </si>
  <si>
    <t>% of cost</t>
  </si>
  <si>
    <t>Average Unit Square Feet</t>
  </si>
  <si>
    <t>Duplex</t>
  </si>
  <si>
    <t>Triplex</t>
  </si>
  <si>
    <t>Quadplex</t>
  </si>
  <si>
    <t>Apartment</t>
  </si>
  <si>
    <t>Total Acquisition Costs</t>
  </si>
  <si>
    <t>Debt Down Payment</t>
  </si>
  <si>
    <t>check</t>
  </si>
  <si>
    <t>First Horizon</t>
  </si>
  <si>
    <t>Capital Improvement Costs</t>
  </si>
  <si>
    <t>Capital Improvement Costs (Hard Costs)</t>
  </si>
  <si>
    <t>Upfront Capital Costs</t>
  </si>
  <si>
    <t>Total Capital Improvement Costs</t>
  </si>
  <si>
    <t>Building Permit</t>
  </si>
  <si>
    <t>Senior Debt - Mortgage</t>
  </si>
  <si>
    <t>Senior Debt - CapEx Dev.</t>
  </si>
  <si>
    <t>Finacial Modeling Instructions - Real Estate Deal Analysis</t>
  </si>
  <si>
    <t>Investor (LP) Equity</t>
  </si>
  <si>
    <r>
      <t>Real Estate 1</t>
    </r>
    <r>
      <rPr>
        <b/>
        <vertAlign val="superscript"/>
        <sz val="11"/>
        <rFont val="Aptos Narrow"/>
        <family val="2"/>
      </rPr>
      <t>st</t>
    </r>
    <r>
      <rPr>
        <b/>
        <sz val="11"/>
        <rFont val="Aptos Narrow"/>
        <family val="2"/>
      </rPr>
      <t xml:space="preserve"> Year Projections</t>
    </r>
  </si>
  <si>
    <t>Period 0</t>
  </si>
  <si>
    <t>Mezzanine Balance Principal Repayment</t>
  </si>
  <si>
    <t>Senior Debt - Interst Rate</t>
  </si>
  <si>
    <t>Senior Debt - Amount</t>
  </si>
  <si>
    <t>Senior Debt - Lender</t>
  </si>
  <si>
    <t>Mezzanie Debt - Lender</t>
  </si>
  <si>
    <t>Mezzanie Debt - Amount</t>
  </si>
  <si>
    <t>Mezzanine Debt - Interest Rate</t>
  </si>
  <si>
    <t>Amortizzation (Years)</t>
  </si>
  <si>
    <t>Term</t>
  </si>
  <si>
    <t>Mezz Debt</t>
  </si>
  <si>
    <t>Equity Contribution</t>
  </si>
  <si>
    <t>Mortgage (%)</t>
  </si>
  <si>
    <t>Down Payment (%)</t>
  </si>
  <si>
    <t>Mezzanine Debt (%)</t>
  </si>
  <si>
    <t>Senior Debt - Loan Fees</t>
  </si>
  <si>
    <t>Mezzanine Debt - Loan Fees</t>
  </si>
  <si>
    <t>Capital Stack and Acquisition Costs</t>
  </si>
  <si>
    <t>Financed Capital Improv. - Anticipated</t>
  </si>
  <si>
    <t>Annual Expense Increase</t>
  </si>
  <si>
    <t>Principal Amount</t>
  </si>
  <si>
    <t>Interest-Only Period Duration *</t>
  </si>
  <si>
    <t>Loan Term</t>
  </si>
  <si>
    <t>Month I/O Period Ends</t>
  </si>
  <si>
    <t>Term of Amortization</t>
  </si>
  <si>
    <t>* Enter 0 if none</t>
  </si>
  <si>
    <t>Annual Interest Rate</t>
  </si>
  <si>
    <t>Monthly Interest Rate</t>
  </si>
  <si>
    <t>Totals</t>
  </si>
  <si>
    <t>Monthly Payment</t>
  </si>
  <si>
    <t>Principal Portion</t>
  </si>
  <si>
    <t>Interest Portion</t>
  </si>
  <si>
    <t>Senior Debt Amortization Schedule</t>
  </si>
  <si>
    <t>Loan Summary</t>
  </si>
  <si>
    <t>Scheduled Number of payments</t>
  </si>
  <si>
    <t>Total principal</t>
  </si>
  <si>
    <t>Property Pro-Forma (Year-ending)</t>
  </si>
  <si>
    <t>Mezzanine Debt Amortization Schedule</t>
  </si>
  <si>
    <t>Property Taxes</t>
  </si>
  <si>
    <t>Senior Debt Repayment</t>
  </si>
  <si>
    <t>Mezzanine Debt Repayment</t>
  </si>
  <si>
    <t>Property Analysis</t>
  </si>
  <si>
    <t>First Year Projection</t>
  </si>
  <si>
    <t>15 Year Projection</t>
  </si>
  <si>
    <t>Amortization Schedule of Senior Debt Loan</t>
  </si>
  <si>
    <t>Amortization Schedule of Mezzanine Debt</t>
  </si>
  <si>
    <t>* Cells with a white background contain a formula. Do not delete.</t>
  </si>
  <si>
    <r>
      <t>* Cells that contain a formula appear in</t>
    </r>
    <r>
      <rPr>
        <b/>
        <u/>
        <sz val="10"/>
        <color rgb="FF0070C0"/>
        <rFont val="Aptos Narrow"/>
        <family val="1"/>
        <scheme val="minor"/>
      </rPr>
      <t xml:space="preserve"> </t>
    </r>
    <r>
      <rPr>
        <b/>
        <u/>
        <sz val="10"/>
        <rFont val="Aptos Narrow"/>
        <family val="2"/>
        <scheme val="minor"/>
      </rPr>
      <t>BLACK</t>
    </r>
  </si>
  <si>
    <r>
      <t>* Cells that require user input text appear in</t>
    </r>
    <r>
      <rPr>
        <b/>
        <u/>
        <sz val="10"/>
        <color rgb="FF0070C0"/>
        <rFont val="Aptos Narrow"/>
        <family val="1"/>
        <scheme val="minor"/>
      </rPr>
      <t xml:space="preserve"> BLUE</t>
    </r>
  </si>
  <si>
    <t>Total Cash Investment</t>
  </si>
  <si>
    <t>Inspection</t>
  </si>
  <si>
    <t>Financed Capital Improvement Costs - Lender</t>
  </si>
  <si>
    <t>Financed Capital Improvement Costs - Amount</t>
  </si>
  <si>
    <t>Financed Capital Improvement Costs - Interest Rate</t>
  </si>
  <si>
    <t>Financed Cap Improv. Principal Repayment</t>
  </si>
  <si>
    <t>Cash Interest Expense on Financed Cap Improv.</t>
  </si>
  <si>
    <t>Ending Financed Cap Improv. Balance</t>
  </si>
  <si>
    <t>Jefferson Ave</t>
  </si>
  <si>
    <t>Debt Service (Monthly)</t>
  </si>
  <si>
    <t>Debt Service (Annual)</t>
  </si>
  <si>
    <t>Equity Return</t>
  </si>
  <si>
    <t>Cash Returned</t>
  </si>
  <si>
    <t>Beginning</t>
  </si>
  <si>
    <t>Payments</t>
  </si>
  <si>
    <t>Acquisition - Multipurpose</t>
  </si>
  <si>
    <t>Nashville</t>
  </si>
  <si>
    <t>Multipurpose</t>
  </si>
  <si>
    <t>Square Feet per Unit</t>
  </si>
  <si>
    <t>Unlevered Cash Flow (Monthly)</t>
  </si>
  <si>
    <t>Levered Cash Flow (Monthly)</t>
  </si>
  <si>
    <t>Lease Start Date</t>
  </si>
  <si>
    <t>Total Rental Income (Monthly)</t>
  </si>
  <si>
    <t>Check</t>
  </si>
  <si>
    <t>Property Management</t>
  </si>
  <si>
    <t>Repairs &amp; Maintenance</t>
  </si>
  <si>
    <t>Capital Expense Reserve</t>
  </si>
  <si>
    <t>Total Debt Service</t>
  </si>
  <si>
    <t>Interest Rate - Monthly</t>
  </si>
  <si>
    <t>No. Periods - Monthly</t>
  </si>
  <si>
    <t>TOTAL - TTM</t>
  </si>
  <si>
    <t>Rental Income, net of vacancy</t>
  </si>
  <si>
    <t>Annual Property Appreciation</t>
  </si>
  <si>
    <t>Cumulative Appreciation</t>
  </si>
  <si>
    <t>Holding Period</t>
  </si>
  <si>
    <t>Exit Valuation</t>
  </si>
  <si>
    <t>Cash on Cash - First Year</t>
  </si>
  <si>
    <t>IRR - Full Holding Period</t>
  </si>
  <si>
    <t>Total Rental Income (Monthly) (USD $)</t>
  </si>
  <si>
    <t>Net Operating Income - Unlevered (USD $)</t>
  </si>
  <si>
    <t>942 Jefferson St.</t>
  </si>
  <si>
    <t>Pathway Lending</t>
  </si>
  <si>
    <t>NPV</t>
  </si>
  <si>
    <t>Weighted Average Cost of Capital (WACC)</t>
  </si>
  <si>
    <t>OPTIMAL CAPITAL STRUCTURE</t>
  </si>
  <si>
    <t>TOTAL</t>
  </si>
  <si>
    <t>DEBT</t>
  </si>
  <si>
    <t>EQUITY</t>
  </si>
  <si>
    <t>Debt</t>
  </si>
  <si>
    <t>Wd</t>
  </si>
  <si>
    <t>Rate</t>
  </si>
  <si>
    <t>Kd</t>
  </si>
  <si>
    <t>We</t>
  </si>
  <si>
    <t>Ke</t>
  </si>
  <si>
    <t>WACC</t>
  </si>
  <si>
    <t>COST OF EQUITY</t>
  </si>
  <si>
    <t>Risk Free Rate</t>
  </si>
  <si>
    <t>Equity Risk Premium</t>
  </si>
  <si>
    <t>Cost of Equity</t>
  </si>
  <si>
    <t>WEIGHTED AVERAGE COST OF CAPITAL</t>
  </si>
  <si>
    <t>Optimal</t>
  </si>
  <si>
    <t>Weight</t>
  </si>
  <si>
    <t>Cost</t>
  </si>
  <si>
    <t>Debt Capital</t>
  </si>
  <si>
    <t>Equity Capital</t>
  </si>
  <si>
    <t>Percentage</t>
  </si>
  <si>
    <t>14</t>
  </si>
  <si>
    <t>Net Debt</t>
  </si>
  <si>
    <t>Acquisition Costs, less soft costs</t>
  </si>
  <si>
    <t>Equity - Cash invested</t>
  </si>
  <si>
    <t>Equity Value of Property</t>
  </si>
  <si>
    <t>Cash flow, net</t>
  </si>
  <si>
    <t>Net Equity in Investment</t>
  </si>
  <si>
    <r>
      <t>NPV is the difference between the present value of cash inflows and the present value of cash outflows. (</t>
    </r>
    <r>
      <rPr>
        <i/>
        <sz val="10"/>
        <rFont val="Aptos Narrow"/>
        <family val="2"/>
        <scheme val="minor"/>
      </rPr>
      <t>The money made in the deal</t>
    </r>
    <r>
      <rPr>
        <sz val="10"/>
        <rFont val="Aptos Narrow"/>
        <family val="2"/>
        <scheme val="minor"/>
      </rPr>
      <t xml:space="preserve">) </t>
    </r>
    <r>
      <rPr>
        <vertAlign val="superscript"/>
        <sz val="10"/>
        <rFont val="Aptos Narrow"/>
        <family val="2"/>
        <scheme val="minor"/>
      </rPr>
      <t>1</t>
    </r>
  </si>
  <si>
    <r>
      <t xml:space="preserve">NPV </t>
    </r>
    <r>
      <rPr>
        <vertAlign val="superscript"/>
        <sz val="10"/>
        <rFont val="Aptos Narrow"/>
        <family val="2"/>
        <scheme val="minor"/>
      </rPr>
      <t>1</t>
    </r>
  </si>
  <si>
    <r>
      <t xml:space="preserve">WACC </t>
    </r>
    <r>
      <rPr>
        <vertAlign val="superscript"/>
        <sz val="10"/>
        <rFont val="Aptos Narrow"/>
        <family val="2"/>
        <scheme val="minor"/>
      </rPr>
      <t>2</t>
    </r>
  </si>
  <si>
    <r>
      <t xml:space="preserve">IRR </t>
    </r>
    <r>
      <rPr>
        <vertAlign val="superscript"/>
        <sz val="10"/>
        <rFont val="Aptos Narrow"/>
        <family val="2"/>
        <scheme val="minor"/>
      </rPr>
      <t>3</t>
    </r>
  </si>
  <si>
    <r>
      <t xml:space="preserve">WACC is the cost of capital used in the deal. It measures how "expensive" the mix of debt and equity is. </t>
    </r>
    <r>
      <rPr>
        <vertAlign val="superscript"/>
        <sz val="10"/>
        <rFont val="Aptos Narrow"/>
        <family val="2"/>
        <scheme val="minor"/>
      </rPr>
      <t>2</t>
    </r>
  </si>
  <si>
    <r>
      <t xml:space="preserve">IRR measures the Rate of Return on the deal. Use this to compare returns gained from other investments. </t>
    </r>
    <r>
      <rPr>
        <vertAlign val="superscript"/>
        <sz val="10"/>
        <rFont val="Aptos Narrow"/>
        <family val="2"/>
        <scheme val="minor"/>
      </rPr>
      <t>3</t>
    </r>
  </si>
  <si>
    <t>Notes</t>
  </si>
  <si>
    <t xml:space="preserve"> </t>
  </si>
  <si>
    <t>Senior Debt Principal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</si>
</sst>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"/>
    <numFmt numFmtId="167" formatCode="0.0%"/>
    <numFmt numFmtId="168" formatCode="\$#,##0;\(\$#,##0\)"/>
    <numFmt numFmtId="169" formatCode="\$#,##0.00"/>
    <numFmt numFmtId="170" formatCode="\$#,##0"/>
    <numFmt numFmtId="171" formatCode="mm/dd/yyyy;@"/>
    <numFmt numFmtId="172" formatCode="&quot;Month&quot;\ 0"/>
    <numFmt numFmtId="173" formatCode="_(* #,##0_);_(* \(#,##0\);_(* &quot;-&quot;??_);_(@_)"/>
    <numFmt numFmtId="174" formatCode="#,##0.0\ &quot;Year(s)&quot;"/>
    <numFmt numFmtId="175" formatCode="#,##0\ &quot;Years&quot;"/>
    <numFmt numFmtId="176" formatCode="&quot;Month&quot;\ #,##0"/>
    <numFmt numFmtId="177" formatCode="#,##0\ &quot;Months&quot;"/>
    <numFmt numFmtId="178" formatCode="&quot;$&quot;#,##0.0_);[Red]\(&quot;$&quot;#,##0.0\)"/>
    <numFmt numFmtId="179" formatCode="yyyy"/>
    <numFmt numFmtId="180" formatCode="&quot;Year&quot;\ #0_)"/>
    <numFmt numFmtId="181" formatCode="mm/dd/yyyy_)"/>
    <numFmt numFmtId="182" formatCode="#,##0_)"/>
    <numFmt numFmtId="183" formatCode="_(#,##0_);\(#,##0\);_(&quot;–&quot;_);_(@_)"/>
    <numFmt numFmtId="184" formatCode="_(#,##0%_);\(#,##0%\);_(&quot;–&quot;_);_(@_)"/>
    <numFmt numFmtId="185" formatCode="_(#,##0.00%_);\(#,##0.00%\);_(&quot;–&quot;_);_(@_)"/>
    <numFmt numFmtId="186" formatCode="_(#,##0.0%_);\(#,##0.0%\);_(&quot;–&quot;_)_%;_(@_)_%"/>
    <numFmt numFmtId="187" formatCode="_(#,##0.00%_);\(#,##0.00%\);_(&quot;–&quot;_)_%;_(@_)_%"/>
    <numFmt numFmtId="188" formatCode="0.00%_)"/>
    <numFmt numFmtId="190" formatCode="#,##0.000"/>
  </numFmts>
  <fonts count="61" x14ac:knownFonts="1">
    <font>
      <sz val="10"/>
      <name val="Aptos Narrow"/>
      <family val="1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1"/>
      <scheme val="minor"/>
    </font>
    <font>
      <b/>
      <i/>
      <sz val="14"/>
      <color theme="4" tint="-0.499984740745262"/>
      <name val="Aptos Narrow"/>
      <family val="2"/>
      <scheme val="minor"/>
    </font>
    <font>
      <b/>
      <u/>
      <sz val="10"/>
      <name val="Aptos Narrow"/>
      <family val="1"/>
      <scheme val="minor"/>
    </font>
    <font>
      <b/>
      <u/>
      <sz val="10"/>
      <color rgb="FF0070C0"/>
      <name val="Aptos Narrow"/>
      <family val="1"/>
      <scheme val="minor"/>
    </font>
    <font>
      <sz val="10"/>
      <color rgb="FF0070C0"/>
      <name val="Aptos Narrow"/>
      <family val="1"/>
      <scheme val="minor"/>
    </font>
    <font>
      <sz val="10"/>
      <color theme="1"/>
      <name val="Aptos Narrow"/>
      <family val="2"/>
    </font>
    <font>
      <sz val="10"/>
      <name val="Arial"/>
      <family val="2"/>
    </font>
    <font>
      <sz val="10"/>
      <color rgb="FF000000"/>
      <name val="Aptos Narrow"/>
      <family val="2"/>
      <scheme val="minor"/>
    </font>
    <font>
      <u/>
      <sz val="10"/>
      <color indexed="12"/>
      <name val="Times New Roman"/>
      <family val="1"/>
    </font>
    <font>
      <sz val="11"/>
      <color theme="1"/>
      <name val="Agency FB"/>
      <family val="2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  <font>
      <sz val="11"/>
      <name val="Aptos Narrow"/>
      <family val="2"/>
    </font>
    <font>
      <b/>
      <sz val="11"/>
      <name val="Aptos Narrow"/>
      <family val="2"/>
    </font>
    <font>
      <b/>
      <i/>
      <sz val="11"/>
      <name val="Aptos Narrow"/>
      <family val="2"/>
    </font>
    <font>
      <b/>
      <u/>
      <sz val="11"/>
      <name val="Aptos Narrow"/>
      <family val="2"/>
    </font>
    <font>
      <sz val="11"/>
      <color rgb="FF0070C0"/>
      <name val="Aptos Narrow"/>
      <family val="2"/>
    </font>
    <font>
      <sz val="11"/>
      <color rgb="FF0000FF"/>
      <name val="Aptos Narrow"/>
      <family val="2"/>
    </font>
    <font>
      <sz val="11"/>
      <color rgb="FF00B050"/>
      <name val="Aptos Narrow"/>
      <family val="2"/>
    </font>
    <font>
      <i/>
      <sz val="11"/>
      <name val="Aptos Narrow"/>
      <family val="2"/>
    </font>
    <font>
      <sz val="11"/>
      <color rgb="FFFF0000"/>
      <name val="Aptos Narrow"/>
      <family val="2"/>
    </font>
    <font>
      <b/>
      <i/>
      <u/>
      <sz val="11"/>
      <name val="Aptos Narrow"/>
      <family val="2"/>
    </font>
    <font>
      <b/>
      <i/>
      <u/>
      <sz val="12"/>
      <color rgb="FFFF0000"/>
      <name val="Aptos Narrow"/>
      <family val="2"/>
    </font>
    <font>
      <b/>
      <i/>
      <u/>
      <sz val="12"/>
      <name val="Aptos Narrow"/>
      <family val="2"/>
    </font>
    <font>
      <sz val="10"/>
      <name val="Aptos Narrow"/>
      <family val="2"/>
    </font>
    <font>
      <b/>
      <sz val="10"/>
      <color theme="1"/>
      <name val="Aptos Narrow"/>
      <family val="2"/>
    </font>
    <font>
      <b/>
      <sz val="10"/>
      <name val="Aptos Narrow"/>
      <family val="2"/>
    </font>
    <font>
      <i/>
      <sz val="10"/>
      <name val="Aptos Narrow"/>
      <family val="2"/>
    </font>
    <font>
      <b/>
      <i/>
      <sz val="10"/>
      <name val="Aptos Narrow"/>
      <family val="2"/>
    </font>
    <font>
      <b/>
      <vertAlign val="superscript"/>
      <sz val="11"/>
      <name val="Aptos Narrow"/>
      <family val="2"/>
    </font>
    <font>
      <i/>
      <sz val="10"/>
      <color theme="1"/>
      <name val="Aptos Narrow"/>
      <family val="2"/>
    </font>
    <font>
      <sz val="10"/>
      <color rgb="FF000000"/>
      <name val="Aptos Narrow"/>
      <family val="2"/>
    </font>
    <font>
      <b/>
      <sz val="10"/>
      <color rgb="FF000000"/>
      <name val="Aptos Narrow"/>
      <family val="2"/>
    </font>
    <font>
      <sz val="10"/>
      <color rgb="FF0000FF"/>
      <name val="Aptos Narrow"/>
      <family val="2"/>
    </font>
    <font>
      <i/>
      <sz val="10"/>
      <color theme="0" tint="-0.34998626667073579"/>
      <name val="Aptos Narrow"/>
      <family val="2"/>
    </font>
    <font>
      <i/>
      <sz val="11"/>
      <color theme="2" tint="-0.499984740745262"/>
      <name val="Aptos Narrow"/>
      <family val="2"/>
    </font>
    <font>
      <u/>
      <sz val="12"/>
      <color indexed="12"/>
      <name val="Aptos Narrow"/>
      <family val="2"/>
      <scheme val="minor"/>
    </font>
    <font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b/>
      <sz val="12"/>
      <name val="Aptos Narrow"/>
      <family val="2"/>
      <scheme val="minor"/>
    </font>
    <font>
      <b/>
      <i/>
      <sz val="16"/>
      <name val="Aptos Narrow"/>
      <family val="2"/>
      <scheme val="minor"/>
    </font>
    <font>
      <b/>
      <u/>
      <sz val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8"/>
      <name val="Aptos Narrow"/>
      <family val="2"/>
    </font>
    <font>
      <b/>
      <sz val="10"/>
      <color rgb="FF000000"/>
      <name val="Open Sans"/>
      <family val="2"/>
    </font>
    <font>
      <sz val="11"/>
      <color theme="1"/>
      <name val="Open Sans"/>
      <family val="2"/>
    </font>
    <font>
      <i/>
      <sz val="10"/>
      <color theme="1"/>
      <name val="Open Sans"/>
      <family val="2"/>
    </font>
    <font>
      <sz val="11"/>
      <name val="Open Sans"/>
      <family val="2"/>
    </font>
    <font>
      <b/>
      <sz val="10"/>
      <color theme="1"/>
      <name val="Open Sans"/>
      <family val="2"/>
    </font>
    <font>
      <sz val="10"/>
      <color rgb="FF3271D2"/>
      <name val="Open Sans"/>
      <family val="2"/>
    </font>
    <font>
      <sz val="10"/>
      <color rgb="FF000000"/>
      <name val="Open Sans"/>
      <family val="2"/>
    </font>
    <font>
      <b/>
      <sz val="10"/>
      <color theme="0"/>
      <name val="Open Sans"/>
      <family val="2"/>
    </font>
    <font>
      <sz val="10"/>
      <name val="Open Sans"/>
      <family val="2"/>
    </font>
    <font>
      <sz val="10"/>
      <color rgb="FF0000FF"/>
      <name val="Open Sans"/>
      <family val="2"/>
    </font>
    <font>
      <vertAlign val="superscript"/>
      <sz val="10"/>
      <name val="Aptos Narrow"/>
      <family val="2"/>
      <scheme val="minor"/>
    </font>
    <font>
      <i/>
      <sz val="10"/>
      <name val="Aptos Narrow"/>
      <family val="2"/>
      <scheme val="minor"/>
    </font>
    <font>
      <sz val="10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5B3D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rgb="FF172948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</fills>
  <borders count="7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/>
      <bottom style="dashed">
        <color auto="1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auto="1"/>
      </top>
      <bottom/>
      <diagonal/>
    </border>
    <border>
      <left/>
      <right/>
      <top style="thin">
        <color theme="3" tint="0.499984740745262"/>
      </top>
      <bottom style="double">
        <color theme="3" tint="0.499984740745262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/>
      <bottom style="medium">
        <color rgb="FF3271D2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medium">
        <color rgb="FF3271D2"/>
      </top>
      <bottom/>
      <diagonal/>
    </border>
    <border>
      <left/>
      <right/>
      <top style="hair">
        <color rgb="FF3271D2"/>
      </top>
      <bottom/>
      <diagonal/>
    </border>
    <border>
      <left style="dashed">
        <color auto="1"/>
      </left>
      <right/>
      <top/>
      <bottom/>
      <diagonal/>
    </border>
    <border>
      <left style="dashed">
        <color auto="1"/>
      </left>
      <right/>
      <top/>
      <bottom style="hair">
        <color rgb="FF000000"/>
      </bottom>
      <diagonal/>
    </border>
    <border>
      <left/>
      <right/>
      <top style="dashed">
        <color auto="1"/>
      </top>
      <bottom style="double">
        <color auto="1"/>
      </bottom>
      <diagonal/>
    </border>
  </borders>
  <cellStyleXfs count="13">
    <xf numFmtId="0" fontId="0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1" fillId="9" borderId="0" applyNumberFormat="0" applyBorder="0" applyAlignment="0" applyProtection="0"/>
    <xf numFmtId="0" fontId="12" fillId="2" borderId="1" applyNumberFormat="0" applyAlignment="0" applyProtection="0"/>
    <xf numFmtId="0" fontId="13" fillId="3" borderId="1" applyNumberFormat="0" applyAlignment="0" applyProtection="0"/>
  </cellStyleXfs>
  <cellXfs count="42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4" fillId="0" borderId="5" xfId="0" applyFont="1" applyBorder="1"/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5" borderId="13" xfId="0" applyFill="1" applyBorder="1" applyAlignment="1" applyProtection="1">
      <alignment vertical="top" wrapText="1"/>
      <protection locked="0"/>
    </xf>
    <xf numFmtId="0" fontId="0" fillId="5" borderId="14" xfId="0" applyFill="1" applyBorder="1" applyAlignment="1" applyProtection="1">
      <alignment vertical="top" wrapText="1"/>
      <protection locked="0"/>
    </xf>
    <xf numFmtId="0" fontId="0" fillId="0" borderId="5" xfId="0" applyBorder="1" applyProtection="1">
      <protection locked="0"/>
    </xf>
    <xf numFmtId="0" fontId="0" fillId="0" borderId="0" xfId="0" applyProtection="1">
      <protection locked="0"/>
    </xf>
    <xf numFmtId="0" fontId="6" fillId="5" borderId="13" xfId="0" applyFont="1" applyFill="1" applyBorder="1" applyAlignment="1" applyProtection="1">
      <alignment horizontal="center" vertical="center" wrapText="1"/>
      <protection locked="0"/>
    </xf>
    <xf numFmtId="0" fontId="6" fillId="5" borderId="14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Continuous"/>
      <protection locked="0"/>
    </xf>
    <xf numFmtId="0" fontId="3" fillId="4" borderId="11" xfId="0" applyFont="1" applyFill="1" applyBorder="1" applyAlignment="1" applyProtection="1">
      <alignment horizontal="centerContinuous"/>
      <protection locked="0"/>
    </xf>
    <xf numFmtId="0" fontId="3" fillId="4" borderId="12" xfId="0" applyFont="1" applyFill="1" applyBorder="1" applyAlignment="1" applyProtection="1">
      <alignment horizontal="centerContinuous"/>
      <protection locked="0"/>
    </xf>
    <xf numFmtId="0" fontId="14" fillId="0" borderId="0" xfId="0" applyFont="1"/>
    <xf numFmtId="164" fontId="14" fillId="0" borderId="0" xfId="0" applyNumberFormat="1" applyFont="1"/>
    <xf numFmtId="0" fontId="15" fillId="6" borderId="10" xfId="0" applyFont="1" applyFill="1" applyBorder="1" applyAlignment="1">
      <alignment horizontal="centerContinuous"/>
    </xf>
    <xf numFmtId="0" fontId="15" fillId="6" borderId="11" xfId="0" applyFont="1" applyFill="1" applyBorder="1" applyAlignment="1">
      <alignment horizontal="centerContinuous"/>
    </xf>
    <xf numFmtId="0" fontId="15" fillId="6" borderId="12" xfId="0" applyFont="1" applyFill="1" applyBorder="1" applyAlignment="1">
      <alignment horizontal="centerContinuous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3" fontId="18" fillId="0" borderId="0" xfId="0" applyNumberFormat="1" applyFont="1"/>
    <xf numFmtId="165" fontId="14" fillId="0" borderId="20" xfId="5" applyNumberFormat="1" applyFont="1" applyFill="1" applyBorder="1"/>
    <xf numFmtId="165" fontId="14" fillId="0" borderId="21" xfId="5" applyNumberFormat="1" applyFont="1" applyFill="1" applyBorder="1"/>
    <xf numFmtId="9" fontId="14" fillId="0" borderId="19" xfId="4" applyFont="1" applyFill="1" applyBorder="1"/>
    <xf numFmtId="6" fontId="14" fillId="0" borderId="0" xfId="0" applyNumberFormat="1" applyFont="1"/>
    <xf numFmtId="165" fontId="14" fillId="0" borderId="24" xfId="5" applyNumberFormat="1" applyFont="1" applyFill="1" applyBorder="1"/>
    <xf numFmtId="165" fontId="14" fillId="0" borderId="25" xfId="5" applyNumberFormat="1" applyFont="1" applyFill="1" applyBorder="1"/>
    <xf numFmtId="44" fontId="14" fillId="0" borderId="6" xfId="5" applyFont="1" applyFill="1" applyBorder="1"/>
    <xf numFmtId="3" fontId="20" fillId="0" borderId="0" xfId="0" applyNumberFormat="1" applyFont="1"/>
    <xf numFmtId="165" fontId="18" fillId="0" borderId="28" xfId="5" applyNumberFormat="1" applyFont="1" applyFill="1" applyBorder="1"/>
    <xf numFmtId="165" fontId="14" fillId="0" borderId="29" xfId="5" applyNumberFormat="1" applyFont="1" applyFill="1" applyBorder="1"/>
    <xf numFmtId="165" fontId="18" fillId="0" borderId="20" xfId="5" applyNumberFormat="1" applyFont="1" applyFill="1" applyBorder="1"/>
    <xf numFmtId="9" fontId="18" fillId="0" borderId="23" xfId="4" applyFont="1" applyFill="1" applyBorder="1"/>
    <xf numFmtId="166" fontId="18" fillId="0" borderId="0" xfId="0" applyNumberFormat="1" applyFont="1"/>
    <xf numFmtId="166" fontId="14" fillId="0" borderId="0" xfId="0" applyNumberFormat="1" applyFont="1"/>
    <xf numFmtId="0" fontId="21" fillId="0" borderId="10" xfId="0" applyFont="1" applyBorder="1"/>
    <xf numFmtId="3" fontId="14" fillId="0" borderId="11" xfId="0" applyNumberFormat="1" applyFont="1" applyBorder="1"/>
    <xf numFmtId="165" fontId="14" fillId="0" borderId="11" xfId="5" applyNumberFormat="1" applyFont="1" applyFill="1" applyBorder="1"/>
    <xf numFmtId="165" fontId="22" fillId="0" borderId="12" xfId="5" applyNumberFormat="1" applyFont="1" applyFill="1" applyBorder="1"/>
    <xf numFmtId="0" fontId="17" fillId="0" borderId="0" xfId="0" applyFont="1"/>
    <xf numFmtId="0" fontId="15" fillId="0" borderId="0" xfId="0" applyFont="1"/>
    <xf numFmtId="44" fontId="15" fillId="0" borderId="0" xfId="0" applyNumberFormat="1" applyFont="1"/>
    <xf numFmtId="166" fontId="17" fillId="0" borderId="0" xfId="0" applyNumberFormat="1" applyFont="1"/>
    <xf numFmtId="164" fontId="15" fillId="0" borderId="0" xfId="0" applyNumberFormat="1" applyFont="1" applyAlignment="1">
      <alignment horizontal="center"/>
    </xf>
    <xf numFmtId="9" fontId="14" fillId="0" borderId="0" xfId="4" applyFont="1" applyFill="1" applyBorder="1"/>
    <xf numFmtId="164" fontId="23" fillId="0" borderId="0" xfId="0" applyNumberFormat="1" applyFont="1"/>
    <xf numFmtId="166" fontId="15" fillId="0" borderId="0" xfId="0" applyNumberFormat="1" applyFont="1"/>
    <xf numFmtId="0" fontId="24" fillId="0" borderId="0" xfId="0" applyFont="1"/>
    <xf numFmtId="0" fontId="25" fillId="0" borderId="0" xfId="0" applyFont="1"/>
    <xf numFmtId="10" fontId="24" fillId="0" borderId="0" xfId="0" applyNumberFormat="1" applyFont="1"/>
    <xf numFmtId="164" fontId="24" fillId="0" borderId="0" xfId="0" applyNumberFormat="1" applyFont="1"/>
    <xf numFmtId="0" fontId="26" fillId="0" borderId="0" xfId="0" applyFont="1"/>
    <xf numFmtId="0" fontId="29" fillId="6" borderId="2" xfId="0" applyFont="1" applyFill="1" applyBorder="1"/>
    <xf numFmtId="0" fontId="26" fillId="6" borderId="3" xfId="0" applyFont="1" applyFill="1" applyBorder="1"/>
    <xf numFmtId="0" fontId="26" fillId="6" borderId="4" xfId="0" applyFont="1" applyFill="1" applyBorder="1"/>
    <xf numFmtId="0" fontId="28" fillId="6" borderId="7" xfId="0" applyFont="1" applyFill="1" applyBorder="1" applyAlignment="1">
      <alignment vertical="center"/>
    </xf>
    <xf numFmtId="0" fontId="26" fillId="6" borderId="8" xfId="0" applyFont="1" applyFill="1" applyBorder="1" applyAlignment="1">
      <alignment vertical="center"/>
    </xf>
    <xf numFmtId="0" fontId="30" fillId="6" borderId="8" xfId="0" applyFont="1" applyFill="1" applyBorder="1" applyAlignment="1">
      <alignment vertical="center" wrapText="1"/>
    </xf>
    <xf numFmtId="0" fontId="26" fillId="6" borderId="8" xfId="0" applyFont="1" applyFill="1" applyBorder="1"/>
    <xf numFmtId="0" fontId="28" fillId="0" borderId="0" xfId="0" applyFont="1"/>
    <xf numFmtId="0" fontId="26" fillId="0" borderId="0" xfId="0" applyFont="1" applyAlignment="1">
      <alignment horizontal="left" indent="1"/>
    </xf>
    <xf numFmtId="0" fontId="28" fillId="0" borderId="32" xfId="0" applyFont="1" applyBorder="1"/>
    <xf numFmtId="0" fontId="26" fillId="0" borderId="32" xfId="0" applyFont="1" applyBorder="1"/>
    <xf numFmtId="0" fontId="28" fillId="0" borderId="34" xfId="0" applyFont="1" applyBorder="1"/>
    <xf numFmtId="0" fontId="26" fillId="0" borderId="34" xfId="0" applyFont="1" applyBorder="1"/>
    <xf numFmtId="44" fontId="26" fillId="0" borderId="34" xfId="0" applyNumberFormat="1" applyFont="1" applyBorder="1"/>
    <xf numFmtId="0" fontId="29" fillId="0" borderId="0" xfId="0" applyFont="1" applyAlignment="1">
      <alignment horizontal="left" indent="1"/>
    </xf>
    <xf numFmtId="9" fontId="26" fillId="0" borderId="0" xfId="3" applyFont="1"/>
    <xf numFmtId="0" fontId="28" fillId="0" borderId="33" xfId="0" applyFont="1" applyBorder="1"/>
    <xf numFmtId="0" fontId="26" fillId="0" borderId="33" xfId="0" applyFont="1" applyBorder="1"/>
    <xf numFmtId="0" fontId="26" fillId="6" borderId="2" xfId="0" applyFont="1" applyFill="1" applyBorder="1"/>
    <xf numFmtId="0" fontId="28" fillId="6" borderId="7" xfId="0" applyFont="1" applyFill="1" applyBorder="1"/>
    <xf numFmtId="0" fontId="28" fillId="6" borderId="8" xfId="0" applyFont="1" applyFill="1" applyBorder="1"/>
    <xf numFmtId="171" fontId="28" fillId="6" borderId="8" xfId="0" applyNumberFormat="1" applyFont="1" applyFill="1" applyBorder="1"/>
    <xf numFmtId="44" fontId="26" fillId="0" borderId="0" xfId="2" applyFont="1"/>
    <xf numFmtId="43" fontId="26" fillId="0" borderId="0" xfId="1" applyFont="1"/>
    <xf numFmtId="44" fontId="26" fillId="0" borderId="32" xfId="0" applyNumberFormat="1" applyFont="1" applyBorder="1"/>
    <xf numFmtId="44" fontId="26" fillId="0" borderId="33" xfId="2" applyFont="1" applyBorder="1"/>
    <xf numFmtId="0" fontId="26" fillId="0" borderId="35" xfId="0" applyFont="1" applyBorder="1"/>
    <xf numFmtId="44" fontId="26" fillId="0" borderId="35" xfId="2" applyFont="1" applyBorder="1"/>
    <xf numFmtId="43" fontId="26" fillId="5" borderId="33" xfId="1" applyFont="1" applyFill="1" applyBorder="1"/>
    <xf numFmtId="43" fontId="35" fillId="5" borderId="33" xfId="1" applyFont="1" applyFill="1" applyBorder="1"/>
    <xf numFmtId="43" fontId="26" fillId="5" borderId="35" xfId="1" applyFont="1" applyFill="1" applyBorder="1"/>
    <xf numFmtId="43" fontId="35" fillId="5" borderId="35" xfId="1" applyFont="1" applyFill="1" applyBorder="1"/>
    <xf numFmtId="172" fontId="36" fillId="0" borderId="0" xfId="0" applyNumberFormat="1" applyFont="1"/>
    <xf numFmtId="165" fontId="26" fillId="0" borderId="33" xfId="0" applyNumberFormat="1" applyFont="1" applyBorder="1"/>
    <xf numFmtId="173" fontId="26" fillId="0" borderId="0" xfId="1" applyNumberFormat="1" applyFont="1"/>
    <xf numFmtId="165" fontId="26" fillId="0" borderId="0" xfId="2" applyNumberFormat="1" applyFont="1" applyFill="1"/>
    <xf numFmtId="0" fontId="38" fillId="0" borderId="0" xfId="7" applyFont="1" applyFill="1" applyAlignment="1" applyProtection="1"/>
    <xf numFmtId="0" fontId="39" fillId="7" borderId="0" xfId="9" applyFont="1" applyFill="1" applyAlignment="1">
      <alignment horizontal="center"/>
    </xf>
    <xf numFmtId="0" fontId="39" fillId="7" borderId="0" xfId="9" applyFont="1" applyFill="1"/>
    <xf numFmtId="0" fontId="40" fillId="7" borderId="0" xfId="9" applyFont="1" applyFill="1" applyAlignment="1">
      <alignment vertical="center"/>
    </xf>
    <xf numFmtId="0" fontId="40" fillId="7" borderId="0" xfId="9" applyFont="1" applyFill="1"/>
    <xf numFmtId="0" fontId="40" fillId="6" borderId="11" xfId="9" applyFont="1" applyFill="1" applyBorder="1" applyAlignment="1">
      <alignment horizontal="centerContinuous"/>
    </xf>
    <xf numFmtId="0" fontId="39" fillId="6" borderId="11" xfId="9" applyFont="1" applyFill="1" applyBorder="1" applyAlignment="1">
      <alignment horizontal="centerContinuous"/>
    </xf>
    <xf numFmtId="0" fontId="39" fillId="6" borderId="12" xfId="9" applyFont="1" applyFill="1" applyBorder="1" applyAlignment="1">
      <alignment horizontal="centerContinuous"/>
    </xf>
    <xf numFmtId="166" fontId="39" fillId="7" borderId="0" xfId="9" applyNumberFormat="1" applyFont="1" applyFill="1"/>
    <xf numFmtId="166" fontId="42" fillId="7" borderId="0" xfId="9" applyNumberFormat="1" applyFont="1" applyFill="1"/>
    <xf numFmtId="0" fontId="43" fillId="7" borderId="0" xfId="9" applyFont="1" applyFill="1" applyAlignment="1">
      <alignment horizontal="center"/>
    </xf>
    <xf numFmtId="0" fontId="39" fillId="5" borderId="0" xfId="9" applyFont="1" applyFill="1"/>
    <xf numFmtId="175" fontId="39" fillId="7" borderId="0" xfId="9" applyNumberFormat="1" applyFont="1" applyFill="1"/>
    <xf numFmtId="175" fontId="42" fillId="7" borderId="0" xfId="9" applyNumberFormat="1" applyFont="1" applyFill="1"/>
    <xf numFmtId="0" fontId="41" fillId="7" borderId="0" xfId="9" applyFont="1" applyFill="1"/>
    <xf numFmtId="10" fontId="39" fillId="7" borderId="0" xfId="9" applyNumberFormat="1" applyFont="1" applyFill="1"/>
    <xf numFmtId="10" fontId="42" fillId="7" borderId="0" xfId="9" applyNumberFormat="1" applyFont="1" applyFill="1"/>
    <xf numFmtId="6" fontId="40" fillId="7" borderId="0" xfId="9" applyNumberFormat="1" applyFont="1" applyFill="1"/>
    <xf numFmtId="166" fontId="40" fillId="7" borderId="0" xfId="9" applyNumberFormat="1" applyFont="1" applyFill="1"/>
    <xf numFmtId="0" fontId="43" fillId="6" borderId="10" xfId="9" applyFont="1" applyFill="1" applyBorder="1" applyAlignment="1">
      <alignment horizontal="centerContinuous"/>
    </xf>
    <xf numFmtId="0" fontId="39" fillId="7" borderId="0" xfId="9" applyFont="1" applyFill="1" applyAlignment="1">
      <alignment horizontal="center" vertical="top" wrapText="1"/>
    </xf>
    <xf numFmtId="0" fontId="43" fillId="6" borderId="10" xfId="9" applyFont="1" applyFill="1" applyBorder="1" applyAlignment="1">
      <alignment horizontal="center" wrapText="1"/>
    </xf>
    <xf numFmtId="0" fontId="43" fillId="6" borderId="11" xfId="9" applyFont="1" applyFill="1" applyBorder="1" applyAlignment="1">
      <alignment horizontal="center" wrapText="1"/>
    </xf>
    <xf numFmtId="0" fontId="43" fillId="6" borderId="12" xfId="9" applyFont="1" applyFill="1" applyBorder="1" applyAlignment="1">
      <alignment horizontal="center" wrapText="1"/>
    </xf>
    <xf numFmtId="0" fontId="39" fillId="7" borderId="0" xfId="0" applyFont="1" applyFill="1"/>
    <xf numFmtId="6" fontId="39" fillId="7" borderId="0" xfId="9" applyNumberFormat="1" applyFont="1" applyFill="1"/>
    <xf numFmtId="0" fontId="42" fillId="7" borderId="0" xfId="9" applyFont="1" applyFill="1" applyAlignment="1">
      <alignment horizontal="center"/>
    </xf>
    <xf numFmtId="178" fontId="39" fillId="7" borderId="0" xfId="9" applyNumberFormat="1" applyFont="1" applyFill="1"/>
    <xf numFmtId="0" fontId="44" fillId="6" borderId="10" xfId="9" applyFont="1" applyFill="1" applyBorder="1" applyAlignment="1">
      <alignment horizontal="centerContinuous" vertical="center"/>
    </xf>
    <xf numFmtId="0" fontId="39" fillId="7" borderId="2" xfId="9" applyFont="1" applyFill="1" applyBorder="1" applyAlignment="1">
      <alignment horizontal="right"/>
    </xf>
    <xf numFmtId="0" fontId="39" fillId="7" borderId="5" xfId="9" applyFont="1" applyFill="1" applyBorder="1" applyAlignment="1">
      <alignment horizontal="right" vertical="top" wrapText="1"/>
    </xf>
    <xf numFmtId="0" fontId="39" fillId="7" borderId="7" xfId="9" applyFont="1" applyFill="1" applyBorder="1" applyAlignment="1">
      <alignment horizontal="right"/>
    </xf>
    <xf numFmtId="0" fontId="39" fillId="6" borderId="4" xfId="9" applyFont="1" applyFill="1" applyBorder="1" applyAlignment="1">
      <alignment horizontal="centerContinuous"/>
    </xf>
    <xf numFmtId="165" fontId="43" fillId="10" borderId="13" xfId="2" applyNumberFormat="1" applyFont="1" applyFill="1" applyBorder="1" applyAlignment="1">
      <alignment horizontal="right" vertical="center"/>
    </xf>
    <xf numFmtId="0" fontId="43" fillId="10" borderId="15" xfId="9" applyFont="1" applyFill="1" applyBorder="1" applyAlignment="1">
      <alignment horizontal="right" vertical="center" wrapText="1"/>
    </xf>
    <xf numFmtId="165" fontId="43" fillId="10" borderId="17" xfId="2" applyNumberFormat="1" applyFont="1" applyFill="1" applyBorder="1" applyAlignment="1">
      <alignment horizontal="right" vertical="center"/>
    </xf>
    <xf numFmtId="165" fontId="43" fillId="10" borderId="16" xfId="2" applyNumberFormat="1" applyFont="1" applyFill="1" applyBorder="1" applyAlignment="1">
      <alignment horizontal="right" vertical="center" wrapText="1"/>
    </xf>
    <xf numFmtId="9" fontId="26" fillId="0" borderId="0" xfId="0" applyNumberFormat="1" applyFont="1"/>
    <xf numFmtId="0" fontId="29" fillId="6" borderId="3" xfId="0" applyFont="1" applyFill="1" applyBorder="1" applyAlignment="1">
      <alignment horizontal="right"/>
    </xf>
    <xf numFmtId="0" fontId="26" fillId="6" borderId="4" xfId="0" applyFont="1" applyFill="1" applyBorder="1" applyAlignment="1">
      <alignment horizontal="right"/>
    </xf>
    <xf numFmtId="179" fontId="28" fillId="6" borderId="8" xfId="0" applyNumberFormat="1" applyFont="1" applyFill="1" applyBorder="1" applyAlignment="1">
      <alignment horizontal="right" vertical="center"/>
    </xf>
    <xf numFmtId="179" fontId="26" fillId="6" borderId="9" xfId="0" applyNumberFormat="1" applyFont="1" applyFill="1" applyBorder="1" applyAlignment="1">
      <alignment horizontal="right"/>
    </xf>
    <xf numFmtId="44" fontId="26" fillId="0" borderId="32" xfId="2" applyFont="1" applyBorder="1"/>
    <xf numFmtId="9" fontId="26" fillId="0" borderId="33" xfId="3" applyFont="1" applyBorder="1"/>
    <xf numFmtId="9" fontId="26" fillId="0" borderId="35" xfId="3" applyFont="1" applyBorder="1"/>
    <xf numFmtId="0" fontId="35" fillId="5" borderId="33" xfId="0" applyFont="1" applyFill="1" applyBorder="1"/>
    <xf numFmtId="0" fontId="35" fillId="5" borderId="35" xfId="0" applyFont="1" applyFill="1" applyBorder="1"/>
    <xf numFmtId="9" fontId="26" fillId="0" borderId="0" xfId="3" applyFont="1" applyFill="1"/>
    <xf numFmtId="173" fontId="26" fillId="0" borderId="0" xfId="0" applyNumberFormat="1" applyFont="1"/>
    <xf numFmtId="0" fontId="0" fillId="7" borderId="13" xfId="0" applyFill="1" applyBorder="1" applyAlignment="1" applyProtection="1">
      <alignment vertical="top" wrapText="1"/>
      <protection locked="0"/>
    </xf>
    <xf numFmtId="0" fontId="0" fillId="7" borderId="14" xfId="0" applyFill="1" applyBorder="1" applyAlignment="1" applyProtection="1">
      <alignment vertical="top" wrapText="1"/>
      <protection locked="0"/>
    </xf>
    <xf numFmtId="0" fontId="0" fillId="7" borderId="13" xfId="0" applyFill="1" applyBorder="1" applyAlignment="1" applyProtection="1">
      <alignment horizontal="center" vertical="top" wrapText="1"/>
      <protection locked="0"/>
    </xf>
    <xf numFmtId="0" fontId="0" fillId="7" borderId="14" xfId="0" applyFill="1" applyBorder="1" applyAlignment="1" applyProtection="1">
      <alignment horizontal="center" vertical="top" wrapText="1"/>
      <protection locked="0"/>
    </xf>
    <xf numFmtId="9" fontId="14" fillId="0" borderId="0" xfId="3" applyFont="1" applyFill="1" applyBorder="1"/>
    <xf numFmtId="169" fontId="33" fillId="0" borderId="39" xfId="6" applyNumberFormat="1" applyFont="1" applyBorder="1" applyAlignment="1">
      <alignment horizontal="center" vertical="center"/>
    </xf>
    <xf numFmtId="165" fontId="26" fillId="0" borderId="32" xfId="2" applyNumberFormat="1" applyFont="1" applyBorder="1"/>
    <xf numFmtId="165" fontId="43" fillId="10" borderId="17" xfId="2" applyNumberFormat="1" applyFont="1" applyFill="1" applyBorder="1" applyAlignment="1">
      <alignment horizontal="right" vertical="center" wrapText="1"/>
    </xf>
    <xf numFmtId="43" fontId="39" fillId="7" borderId="0" xfId="1" applyFont="1" applyFill="1"/>
    <xf numFmtId="44" fontId="39" fillId="7" borderId="0" xfId="9" applyNumberFormat="1" applyFont="1" applyFill="1"/>
    <xf numFmtId="0" fontId="32" fillId="0" borderId="36" xfId="6" applyFont="1" applyBorder="1" applyAlignment="1">
      <alignment horizontal="left" wrapText="1" indent="2"/>
    </xf>
    <xf numFmtId="0" fontId="32" fillId="0" borderId="41" xfId="6" applyFont="1" applyBorder="1" applyAlignment="1">
      <alignment horizontal="left" wrapText="1" indent="2"/>
    </xf>
    <xf numFmtId="8" fontId="14" fillId="0" borderId="0" xfId="0" applyNumberFormat="1" applyFont="1"/>
    <xf numFmtId="0" fontId="16" fillId="0" borderId="0" xfId="0" applyFont="1"/>
    <xf numFmtId="0" fontId="15" fillId="6" borderId="44" xfId="0" applyFont="1" applyFill="1" applyBorder="1" applyAlignment="1">
      <alignment horizontal="centerContinuous"/>
    </xf>
    <xf numFmtId="0" fontId="15" fillId="6" borderId="45" xfId="0" applyFont="1" applyFill="1" applyBorder="1" applyAlignment="1">
      <alignment horizontal="centerContinuous"/>
    </xf>
    <xf numFmtId="0" fontId="15" fillId="6" borderId="46" xfId="0" applyFont="1" applyFill="1" applyBorder="1" applyAlignment="1">
      <alignment horizontal="centerContinuous"/>
    </xf>
    <xf numFmtId="164" fontId="15" fillId="4" borderId="44" xfId="0" applyNumberFormat="1" applyFont="1" applyFill="1" applyBorder="1" applyAlignment="1">
      <alignment horizontal="centerContinuous"/>
    </xf>
    <xf numFmtId="164" fontId="15" fillId="4" borderId="45" xfId="0" applyNumberFormat="1" applyFont="1" applyFill="1" applyBorder="1" applyAlignment="1">
      <alignment horizontal="centerContinuous"/>
    </xf>
    <xf numFmtId="164" fontId="15" fillId="4" borderId="46" xfId="0" applyNumberFormat="1" applyFont="1" applyFill="1" applyBorder="1" applyAlignment="1">
      <alignment horizontal="centerContinuous"/>
    </xf>
    <xf numFmtId="0" fontId="15" fillId="4" borderId="44" xfId="0" applyFont="1" applyFill="1" applyBorder="1" applyAlignment="1">
      <alignment horizontal="centerContinuous"/>
    </xf>
    <xf numFmtId="0" fontId="15" fillId="4" borderId="45" xfId="0" applyFont="1" applyFill="1" applyBorder="1" applyAlignment="1">
      <alignment horizontal="centerContinuous"/>
    </xf>
    <xf numFmtId="0" fontId="15" fillId="4" borderId="46" xfId="0" applyFont="1" applyFill="1" applyBorder="1" applyAlignment="1">
      <alignment horizontal="centerContinuous"/>
    </xf>
    <xf numFmtId="0" fontId="17" fillId="6" borderId="45" xfId="0" applyFont="1" applyFill="1" applyBorder="1" applyAlignment="1">
      <alignment horizontal="centerContinuous"/>
    </xf>
    <xf numFmtId="0" fontId="17" fillId="6" borderId="46" xfId="0" applyFont="1" applyFill="1" applyBorder="1" applyAlignment="1">
      <alignment horizontal="centerContinuous"/>
    </xf>
    <xf numFmtId="0" fontId="34" fillId="11" borderId="44" xfId="6" applyFont="1" applyFill="1" applyBorder="1" applyAlignment="1">
      <alignment horizontal="center"/>
    </xf>
    <xf numFmtId="0" fontId="28" fillId="6" borderId="45" xfId="6" applyFont="1" applyFill="1" applyBorder="1" applyAlignment="1">
      <alignment horizontal="center" vertical="center"/>
    </xf>
    <xf numFmtId="170" fontId="28" fillId="6" borderId="45" xfId="6" applyNumberFormat="1" applyFont="1" applyFill="1" applyBorder="1" applyAlignment="1">
      <alignment horizontal="center" vertical="center"/>
    </xf>
    <xf numFmtId="0" fontId="28" fillId="6" borderId="46" xfId="6" applyFont="1" applyFill="1" applyBorder="1" applyAlignment="1">
      <alignment horizontal="center" vertical="center"/>
    </xf>
    <xf numFmtId="0" fontId="14" fillId="0" borderId="5" xfId="0" applyFont="1" applyBorder="1"/>
    <xf numFmtId="0" fontId="14" fillId="0" borderId="6" xfId="0" applyFont="1" applyBorder="1"/>
    <xf numFmtId="0" fontId="19" fillId="0" borderId="6" xfId="0" applyFont="1" applyBorder="1"/>
    <xf numFmtId="0" fontId="19" fillId="0" borderId="6" xfId="0" applyFont="1" applyBorder="1" applyAlignment="1">
      <alignment horizontal="centerContinuous"/>
    </xf>
    <xf numFmtId="0" fontId="14" fillId="0" borderId="7" xfId="0" applyFont="1" applyBorder="1"/>
    <xf numFmtId="0" fontId="14" fillId="0" borderId="8" xfId="0" applyFont="1" applyBorder="1"/>
    <xf numFmtId="0" fontId="14" fillId="12" borderId="5" xfId="0" applyFont="1" applyFill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5" xfId="0" applyFont="1" applyBorder="1"/>
    <xf numFmtId="166" fontId="19" fillId="0" borderId="6" xfId="0" applyNumberFormat="1" applyFont="1" applyBorder="1"/>
    <xf numFmtId="0" fontId="14" fillId="0" borderId="5" xfId="0" applyFont="1" applyBorder="1" applyAlignment="1">
      <alignment horizontal="right"/>
    </xf>
    <xf numFmtId="9" fontId="19" fillId="0" borderId="0" xfId="4" applyFont="1" applyFill="1" applyBorder="1"/>
    <xf numFmtId="166" fontId="14" fillId="0" borderId="6" xfId="0" applyNumberFormat="1" applyFont="1" applyBorder="1"/>
    <xf numFmtId="9" fontId="14" fillId="0" borderId="0" xfId="0" applyNumberFormat="1" applyFont="1"/>
    <xf numFmtId="9" fontId="19" fillId="0" borderId="0" xfId="0" applyNumberFormat="1" applyFont="1"/>
    <xf numFmtId="0" fontId="19" fillId="0" borderId="0" xfId="0" applyFont="1"/>
    <xf numFmtId="0" fontId="15" fillId="0" borderId="51" xfId="0" applyFont="1" applyBorder="1"/>
    <xf numFmtId="0" fontId="19" fillId="0" borderId="43" xfId="0" applyFont="1" applyBorder="1"/>
    <xf numFmtId="166" fontId="14" fillId="0" borderId="52" xfId="0" applyNumberFormat="1" applyFont="1" applyBorder="1"/>
    <xf numFmtId="0" fontId="21" fillId="0" borderId="5" xfId="0" applyFont="1" applyBorder="1" applyAlignment="1">
      <alignment horizontal="left" indent="3"/>
    </xf>
    <xf numFmtId="9" fontId="19" fillId="0" borderId="0" xfId="3" applyFont="1" applyFill="1" applyBorder="1"/>
    <xf numFmtId="0" fontId="17" fillId="0" borderId="5" xfId="0" applyFont="1" applyBorder="1"/>
    <xf numFmtId="0" fontId="15" fillId="0" borderId="53" xfId="0" applyFont="1" applyBorder="1"/>
    <xf numFmtId="0" fontId="17" fillId="0" borderId="33" xfId="0" applyFont="1" applyBorder="1"/>
    <xf numFmtId="166" fontId="14" fillId="0" borderId="54" xfId="0" applyNumberFormat="1" applyFont="1" applyBorder="1"/>
    <xf numFmtId="0" fontId="37" fillId="0" borderId="5" xfId="0" applyFont="1" applyBorder="1"/>
    <xf numFmtId="43" fontId="37" fillId="0" borderId="6" xfId="1" applyFont="1" applyFill="1" applyBorder="1"/>
    <xf numFmtId="0" fontId="15" fillId="0" borderId="5" xfId="0" applyFont="1" applyBorder="1" applyAlignment="1">
      <alignment horizontal="left"/>
    </xf>
    <xf numFmtId="0" fontId="37" fillId="0" borderId="7" xfId="0" applyFont="1" applyBorder="1"/>
    <xf numFmtId="0" fontId="17" fillId="0" borderId="8" xfId="0" applyFont="1" applyBorder="1"/>
    <xf numFmtId="43" fontId="37" fillId="0" borderId="9" xfId="1" applyFont="1" applyFill="1" applyBorder="1"/>
    <xf numFmtId="9" fontId="19" fillId="0" borderId="6" xfId="0" applyNumberFormat="1" applyFont="1" applyBorder="1"/>
    <xf numFmtId="3" fontId="19" fillId="0" borderId="6" xfId="0" applyNumberFormat="1" applyFont="1" applyBorder="1"/>
    <xf numFmtId="3" fontId="14" fillId="0" borderId="6" xfId="1" applyNumberFormat="1" applyFont="1" applyFill="1" applyBorder="1"/>
    <xf numFmtId="1" fontId="14" fillId="0" borderId="6" xfId="0" applyNumberFormat="1" applyFont="1" applyBorder="1"/>
    <xf numFmtId="0" fontId="19" fillId="0" borderId="6" xfId="5" applyNumberFormat="1" applyFont="1" applyFill="1" applyBorder="1"/>
    <xf numFmtId="0" fontId="14" fillId="0" borderId="2" xfId="0" applyFont="1" applyBorder="1"/>
    <xf numFmtId="9" fontId="14" fillId="0" borderId="3" xfId="0" applyNumberFormat="1" applyFont="1" applyBorder="1"/>
    <xf numFmtId="0" fontId="18" fillId="0" borderId="0" xfId="0" applyFont="1"/>
    <xf numFmtId="0" fontId="19" fillId="0" borderId="6" xfId="0" applyFont="1" applyBorder="1" applyAlignment="1">
      <alignment horizontal="left"/>
    </xf>
    <xf numFmtId="16" fontId="18" fillId="0" borderId="0" xfId="0" applyNumberFormat="1" applyFont="1"/>
    <xf numFmtId="3" fontId="19" fillId="0" borderId="6" xfId="0" applyNumberFormat="1" applyFont="1" applyBorder="1" applyAlignment="1">
      <alignment wrapText="1"/>
    </xf>
    <xf numFmtId="1" fontId="19" fillId="0" borderId="6" xfId="0" applyNumberFormat="1" applyFont="1" applyBorder="1" applyAlignment="1">
      <alignment horizontal="left"/>
    </xf>
    <xf numFmtId="49" fontId="14" fillId="0" borderId="0" xfId="0" applyNumberFormat="1" applyFont="1"/>
    <xf numFmtId="16" fontId="19" fillId="0" borderId="0" xfId="0" applyNumberFormat="1" applyFont="1"/>
    <xf numFmtId="16" fontId="18" fillId="0" borderId="8" xfId="0" applyNumberFormat="1" applyFont="1" applyBorder="1"/>
    <xf numFmtId="3" fontId="18" fillId="0" borderId="9" xfId="0" applyNumberFormat="1" applyFont="1" applyBorder="1"/>
    <xf numFmtId="166" fontId="18" fillId="0" borderId="6" xfId="0" applyNumberFormat="1" applyFont="1" applyBorder="1"/>
    <xf numFmtId="0" fontId="15" fillId="0" borderId="48" xfId="0" applyFont="1" applyBorder="1"/>
    <xf numFmtId="0" fontId="14" fillId="0" borderId="49" xfId="0" applyFont="1" applyBorder="1"/>
    <xf numFmtId="166" fontId="15" fillId="0" borderId="50" xfId="0" applyNumberFormat="1" applyFont="1" applyBorder="1"/>
    <xf numFmtId="164" fontId="19" fillId="0" borderId="6" xfId="0" applyNumberFormat="1" applyFont="1" applyBorder="1"/>
    <xf numFmtId="164" fontId="14" fillId="0" borderId="6" xfId="0" applyNumberFormat="1" applyFont="1" applyBorder="1"/>
    <xf numFmtId="1" fontId="14" fillId="0" borderId="0" xfId="0" applyNumberFormat="1" applyFont="1"/>
    <xf numFmtId="1" fontId="14" fillId="0" borderId="8" xfId="0" applyNumberFormat="1" applyFont="1" applyBorder="1"/>
    <xf numFmtId="164" fontId="14" fillId="0" borderId="9" xfId="0" applyNumberFormat="1" applyFont="1" applyBorder="1"/>
    <xf numFmtId="0" fontId="33" fillId="0" borderId="36" xfId="6" applyFont="1" applyBorder="1" applyAlignment="1">
      <alignment horizontal="left"/>
    </xf>
    <xf numFmtId="167" fontId="35" fillId="0" borderId="37" xfId="6" applyNumberFormat="1" applyFont="1" applyBorder="1" applyAlignment="1">
      <alignment horizontal="center" vertical="center" wrapText="1"/>
    </xf>
    <xf numFmtId="0" fontId="33" fillId="0" borderId="41" xfId="6" applyFont="1" applyBorder="1" applyAlignment="1">
      <alignment horizontal="left"/>
    </xf>
    <xf numFmtId="167" fontId="35" fillId="0" borderId="40" xfId="6" applyNumberFormat="1" applyFont="1" applyBorder="1" applyAlignment="1">
      <alignment horizontal="center" vertical="center" wrapText="1"/>
    </xf>
    <xf numFmtId="0" fontId="7" fillId="0" borderId="41" xfId="6" applyFont="1" applyBorder="1" applyAlignment="1">
      <alignment horizontal="left" wrapText="1"/>
    </xf>
    <xf numFmtId="167" fontId="35" fillId="0" borderId="40" xfId="6" applyNumberFormat="1" applyFont="1" applyBorder="1" applyAlignment="1">
      <alignment horizontal="center" vertical="center"/>
    </xf>
    <xf numFmtId="0" fontId="7" fillId="0" borderId="41" xfId="6" applyFont="1" applyBorder="1" applyAlignment="1">
      <alignment wrapText="1"/>
    </xf>
    <xf numFmtId="167" fontId="35" fillId="0" borderId="40" xfId="6" applyNumberFormat="1" applyFont="1" applyBorder="1" applyAlignment="1">
      <alignment horizontal="center" wrapText="1"/>
    </xf>
    <xf numFmtId="0" fontId="34" fillId="0" borderId="38" xfId="6" applyFont="1" applyBorder="1" applyAlignment="1">
      <alignment horizontal="left"/>
    </xf>
    <xf numFmtId="10" fontId="27" fillId="0" borderId="39" xfId="6" applyNumberFormat="1" applyFont="1" applyBorder="1" applyAlignment="1">
      <alignment horizontal="center" vertical="center"/>
    </xf>
    <xf numFmtId="0" fontId="17" fillId="0" borderId="26" xfId="0" applyFont="1" applyBorder="1"/>
    <xf numFmtId="0" fontId="14" fillId="0" borderId="27" xfId="0" applyFont="1" applyBorder="1"/>
    <xf numFmtId="0" fontId="14" fillId="0" borderId="28" xfId="0" applyFont="1" applyBorder="1"/>
    <xf numFmtId="0" fontId="14" fillId="0" borderId="29" xfId="0" applyFont="1" applyBorder="1"/>
    <xf numFmtId="3" fontId="14" fillId="0" borderId="18" xfId="0" applyNumberFormat="1" applyFont="1" applyBorder="1"/>
    <xf numFmtId="9" fontId="19" fillId="0" borderId="19" xfId="4" applyFont="1" applyFill="1" applyBorder="1"/>
    <xf numFmtId="3" fontId="14" fillId="0" borderId="19" xfId="0" applyNumberFormat="1" applyFont="1" applyBorder="1"/>
    <xf numFmtId="3" fontId="14" fillId="0" borderId="22" xfId="0" applyNumberFormat="1" applyFont="1" applyBorder="1"/>
    <xf numFmtId="3" fontId="14" fillId="0" borderId="23" xfId="0" applyNumberFormat="1" applyFont="1" applyBorder="1"/>
    <xf numFmtId="3" fontId="19" fillId="0" borderId="22" xfId="0" applyNumberFormat="1" applyFont="1" applyBorder="1"/>
    <xf numFmtId="165" fontId="19" fillId="0" borderId="24" xfId="5" applyNumberFormat="1" applyFont="1" applyFill="1" applyBorder="1"/>
    <xf numFmtId="3" fontId="14" fillId="0" borderId="26" xfId="0" applyNumberFormat="1" applyFont="1" applyBorder="1"/>
    <xf numFmtId="3" fontId="14" fillId="0" borderId="27" xfId="0" applyNumberFormat="1" applyFont="1" applyBorder="1"/>
    <xf numFmtId="3" fontId="17" fillId="0" borderId="18" xfId="0" applyNumberFormat="1" applyFont="1" applyBorder="1"/>
    <xf numFmtId="0" fontId="32" fillId="0" borderId="38" xfId="6" applyFont="1" applyBorder="1" applyAlignment="1">
      <alignment horizontal="left" wrapText="1" indent="2"/>
    </xf>
    <xf numFmtId="0" fontId="14" fillId="6" borderId="45" xfId="0" applyFont="1" applyFill="1" applyBorder="1" applyAlignment="1">
      <alignment horizontal="centerContinuous"/>
    </xf>
    <xf numFmtId="49" fontId="19" fillId="0" borderId="6" xfId="0" applyNumberFormat="1" applyFont="1" applyBorder="1"/>
    <xf numFmtId="0" fontId="28" fillId="8" borderId="44" xfId="6" applyFont="1" applyFill="1" applyBorder="1" applyAlignment="1">
      <alignment horizontal="centerContinuous" wrapText="1"/>
    </xf>
    <xf numFmtId="0" fontId="26" fillId="6" borderId="45" xfId="6" applyFont="1" applyFill="1" applyBorder="1" applyAlignment="1">
      <alignment horizontal="centerContinuous" wrapText="1"/>
    </xf>
    <xf numFmtId="0" fontId="26" fillId="6" borderId="46" xfId="6" applyFont="1" applyFill="1" applyBorder="1" applyAlignment="1">
      <alignment horizontal="centerContinuous" wrapText="1"/>
    </xf>
    <xf numFmtId="0" fontId="27" fillId="0" borderId="55" xfId="6" applyFont="1" applyBorder="1" applyAlignment="1">
      <alignment horizontal="center" wrapText="1"/>
    </xf>
    <xf numFmtId="0" fontId="27" fillId="0" borderId="56" xfId="6" applyFont="1" applyBorder="1" applyAlignment="1">
      <alignment horizontal="center" vertical="center" wrapText="1"/>
    </xf>
    <xf numFmtId="0" fontId="27" fillId="0" borderId="57" xfId="6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Continuous"/>
    </xf>
    <xf numFmtId="0" fontId="15" fillId="4" borderId="0" xfId="0" applyFont="1" applyFill="1"/>
    <xf numFmtId="0" fontId="0" fillId="0" borderId="58" xfId="0" applyBorder="1"/>
    <xf numFmtId="3" fontId="14" fillId="0" borderId="6" xfId="0" applyNumberFormat="1" applyFont="1" applyBorder="1" applyAlignment="1">
      <alignment horizontal="right"/>
    </xf>
    <xf numFmtId="167" fontId="19" fillId="0" borderId="4" xfId="4" applyNumberFormat="1" applyFont="1" applyFill="1" applyBorder="1"/>
    <xf numFmtId="167" fontId="19" fillId="0" borderId="9" xfId="4" applyNumberFormat="1" applyFont="1" applyFill="1" applyBorder="1"/>
    <xf numFmtId="3" fontId="7" fillId="0" borderId="31" xfId="6" applyNumberFormat="1" applyFont="1" applyBorder="1" applyAlignment="1">
      <alignment horizontal="center" vertical="center" wrapText="1"/>
    </xf>
    <xf numFmtId="167" fontId="19" fillId="0" borderId="6" xfId="3" applyNumberFormat="1" applyFont="1" applyFill="1" applyBorder="1" applyAlignment="1">
      <alignment horizontal="left"/>
    </xf>
    <xf numFmtId="166" fontId="14" fillId="0" borderId="6" xfId="1" applyNumberFormat="1" applyFont="1" applyFill="1" applyBorder="1" applyAlignment="1">
      <alignment horizontal="left"/>
    </xf>
    <xf numFmtId="181" fontId="19" fillId="0" borderId="6" xfId="1" applyNumberFormat="1" applyFont="1" applyFill="1" applyBorder="1" applyAlignment="1">
      <alignment horizontal="left"/>
    </xf>
    <xf numFmtId="0" fontId="47" fillId="0" borderId="0" xfId="0" applyFont="1"/>
    <xf numFmtId="44" fontId="26" fillId="0" borderId="0" xfId="0" applyNumberFormat="1" applyFont="1"/>
    <xf numFmtId="0" fontId="29" fillId="0" borderId="56" xfId="0" applyFont="1" applyBorder="1" applyAlignment="1">
      <alignment horizontal="left" indent="1"/>
    </xf>
    <xf numFmtId="0" fontId="26" fillId="0" borderId="56" xfId="0" applyFont="1" applyBorder="1"/>
    <xf numFmtId="44" fontId="26" fillId="0" borderId="56" xfId="0" applyNumberFormat="1" applyFont="1" applyBorder="1"/>
    <xf numFmtId="0" fontId="21" fillId="0" borderId="5" xfId="0" applyFont="1" applyBorder="1" applyAlignment="1">
      <alignment horizontal="left" indent="2"/>
    </xf>
    <xf numFmtId="6" fontId="26" fillId="0" borderId="0" xfId="0" applyNumberFormat="1" applyFont="1"/>
    <xf numFmtId="6" fontId="26" fillId="0" borderId="32" xfId="0" applyNumberFormat="1" applyFont="1" applyBorder="1"/>
    <xf numFmtId="44" fontId="26" fillId="0" borderId="0" xfId="2" applyFont="1" applyFill="1"/>
    <xf numFmtId="173" fontId="26" fillId="0" borderId="33" xfId="1" applyNumberFormat="1" applyFont="1" applyBorder="1"/>
    <xf numFmtId="3" fontId="26" fillId="7" borderId="0" xfId="1" applyNumberFormat="1" applyFont="1" applyFill="1"/>
    <xf numFmtId="3" fontId="26" fillId="0" borderId="0" xfId="1" applyNumberFormat="1" applyFont="1" applyFill="1"/>
    <xf numFmtId="3" fontId="26" fillId="0" borderId="0" xfId="0" applyNumberFormat="1" applyFont="1"/>
    <xf numFmtId="3" fontId="26" fillId="0" borderId="56" xfId="0" applyNumberFormat="1" applyFont="1" applyBorder="1"/>
    <xf numFmtId="3" fontId="26" fillId="0" borderId="34" xfId="0" applyNumberFormat="1" applyFont="1" applyBorder="1"/>
    <xf numFmtId="43" fontId="29" fillId="0" borderId="0" xfId="1" applyFont="1"/>
    <xf numFmtId="167" fontId="26" fillId="0" borderId="0" xfId="0" applyNumberFormat="1" applyFont="1"/>
    <xf numFmtId="0" fontId="28" fillId="6" borderId="9" xfId="0" applyFont="1" applyFill="1" applyBorder="1" applyAlignment="1">
      <alignment horizontal="center"/>
    </xf>
    <xf numFmtId="4" fontId="26" fillId="0" borderId="0" xfId="0" applyNumberFormat="1" applyFont="1"/>
    <xf numFmtId="0" fontId="26" fillId="13" borderId="0" xfId="0" applyFont="1" applyFill="1"/>
    <xf numFmtId="173" fontId="26" fillId="0" borderId="33" xfId="0" applyNumberFormat="1" applyFont="1" applyBorder="1"/>
    <xf numFmtId="0" fontId="14" fillId="0" borderId="60" xfId="0" applyFont="1" applyBorder="1"/>
    <xf numFmtId="9" fontId="14" fillId="0" borderId="58" xfId="0" applyNumberFormat="1" applyFont="1" applyBorder="1"/>
    <xf numFmtId="3" fontId="14" fillId="0" borderId="61" xfId="5" applyNumberFormat="1" applyFont="1" applyFill="1" applyBorder="1"/>
    <xf numFmtId="0" fontId="14" fillId="0" borderId="62" xfId="0" applyFont="1" applyBorder="1"/>
    <xf numFmtId="9" fontId="14" fillId="0" borderId="47" xfId="0" applyNumberFormat="1" applyFont="1" applyBorder="1"/>
    <xf numFmtId="3" fontId="14" fillId="0" borderId="63" xfId="5" applyNumberFormat="1" applyFont="1" applyFill="1" applyBorder="1"/>
    <xf numFmtId="3" fontId="0" fillId="0" borderId="0" xfId="0" applyNumberFormat="1"/>
    <xf numFmtId="43" fontId="0" fillId="0" borderId="0" xfId="1" applyFont="1"/>
    <xf numFmtId="3" fontId="0" fillId="0" borderId="58" xfId="0" applyNumberFormat="1" applyBorder="1"/>
    <xf numFmtId="37" fontId="0" fillId="0" borderId="0" xfId="1" applyNumberFormat="1" applyFont="1"/>
    <xf numFmtId="180" fontId="46" fillId="0" borderId="0" xfId="0" applyNumberFormat="1" applyFont="1" applyAlignment="1">
      <alignment horizontal="right"/>
    </xf>
    <xf numFmtId="0" fontId="46" fillId="0" borderId="0" xfId="0" applyFont="1" applyAlignment="1">
      <alignment horizontal="right"/>
    </xf>
    <xf numFmtId="173" fontId="39" fillId="7" borderId="0" xfId="1" applyNumberFormat="1" applyFont="1" applyFill="1" applyAlignment="1">
      <alignment horizontal="center"/>
    </xf>
    <xf numFmtId="173" fontId="0" fillId="0" borderId="0" xfId="1" applyNumberFormat="1" applyFont="1"/>
    <xf numFmtId="0" fontId="21" fillId="0" borderId="62" xfId="0" applyFont="1" applyBorder="1" applyAlignment="1">
      <alignment horizontal="left" indent="3"/>
    </xf>
    <xf numFmtId="9" fontId="19" fillId="0" borderId="47" xfId="3" applyFont="1" applyFill="1" applyBorder="1"/>
    <xf numFmtId="166" fontId="14" fillId="0" borderId="63" xfId="0" applyNumberFormat="1" applyFont="1" applyBorder="1"/>
    <xf numFmtId="0" fontId="14" fillId="0" borderId="5" xfId="0" applyFont="1" applyBorder="1" applyAlignment="1">
      <alignment horizontal="left"/>
    </xf>
    <xf numFmtId="175" fontId="19" fillId="0" borderId="0" xfId="3" applyNumberFormat="1" applyFont="1" applyFill="1" applyBorder="1"/>
    <xf numFmtId="173" fontId="14" fillId="0" borderId="0" xfId="1" applyNumberFormat="1" applyFont="1" applyFill="1" applyBorder="1"/>
    <xf numFmtId="168" fontId="33" fillId="0" borderId="31" xfId="6" applyNumberFormat="1" applyFont="1" applyBorder="1" applyAlignment="1">
      <alignment horizontal="center" vertical="center"/>
    </xf>
    <xf numFmtId="168" fontId="34" fillId="0" borderId="42" xfId="6" applyNumberFormat="1" applyFont="1" applyBorder="1" applyAlignment="1">
      <alignment horizontal="center" vertical="center"/>
    </xf>
    <xf numFmtId="2" fontId="19" fillId="0" borderId="6" xfId="0" applyNumberFormat="1" applyFont="1" applyBorder="1" applyAlignment="1">
      <alignment horizontal="right"/>
    </xf>
    <xf numFmtId="165" fontId="14" fillId="0" borderId="6" xfId="0" applyNumberFormat="1" applyFont="1" applyBorder="1"/>
    <xf numFmtId="10" fontId="19" fillId="0" borderId="6" xfId="4" applyNumberFormat="1" applyFont="1" applyFill="1" applyBorder="1"/>
    <xf numFmtId="10" fontId="14" fillId="0" borderId="6" xfId="4" applyNumberFormat="1" applyFont="1" applyFill="1" applyBorder="1"/>
    <xf numFmtId="0" fontId="14" fillId="12" borderId="0" xfId="0" applyFont="1" applyFill="1"/>
    <xf numFmtId="0" fontId="19" fillId="12" borderId="6" xfId="0" applyFont="1" applyFill="1" applyBorder="1"/>
    <xf numFmtId="6" fontId="14" fillId="0" borderId="6" xfId="0" applyNumberFormat="1" applyFont="1" applyBorder="1"/>
    <xf numFmtId="4" fontId="14" fillId="0" borderId="6" xfId="0" applyNumberFormat="1" applyFont="1" applyBorder="1"/>
    <xf numFmtId="9" fontId="14" fillId="0" borderId="9" xfId="4" applyFont="1" applyFill="1" applyBorder="1"/>
    <xf numFmtId="3" fontId="15" fillId="0" borderId="64" xfId="0" applyNumberFormat="1" applyFont="1" applyBorder="1"/>
    <xf numFmtId="3" fontId="14" fillId="0" borderId="65" xfId="0" applyNumberFormat="1" applyFont="1" applyBorder="1"/>
    <xf numFmtId="165" fontId="15" fillId="0" borderId="66" xfId="5" applyNumberFormat="1" applyFont="1" applyFill="1" applyBorder="1"/>
    <xf numFmtId="165" fontId="14" fillId="0" borderId="67" xfId="5" applyNumberFormat="1" applyFont="1" applyFill="1" applyBorder="1"/>
    <xf numFmtId="40" fontId="26" fillId="0" borderId="32" xfId="0" applyNumberFormat="1" applyFont="1" applyBorder="1"/>
    <xf numFmtId="3" fontId="35" fillId="0" borderId="31" xfId="6" applyNumberFormat="1" applyFont="1" applyBorder="1" applyAlignment="1">
      <alignment horizontal="center" vertical="center" wrapText="1"/>
    </xf>
    <xf numFmtId="3" fontId="35" fillId="0" borderId="30" xfId="6" applyNumberFormat="1" applyFont="1" applyBorder="1" applyAlignment="1">
      <alignment horizontal="center" vertical="center" wrapText="1"/>
    </xf>
    <xf numFmtId="10" fontId="7" fillId="0" borderId="30" xfId="3" applyNumberFormat="1" applyFont="1" applyBorder="1" applyAlignment="1">
      <alignment horizontal="center" vertical="center" wrapText="1"/>
    </xf>
    <xf numFmtId="10" fontId="7" fillId="0" borderId="30" xfId="6" applyNumberFormat="1" applyFont="1" applyBorder="1" applyAlignment="1">
      <alignment horizontal="center" vertical="center" wrapText="1"/>
    </xf>
    <xf numFmtId="3" fontId="7" fillId="0" borderId="30" xfId="1" applyNumberFormat="1" applyFont="1" applyBorder="1" applyAlignment="1">
      <alignment horizontal="center" vertical="center" wrapText="1"/>
    </xf>
    <xf numFmtId="10" fontId="35" fillId="0" borderId="30" xfId="3" applyNumberFormat="1" applyFont="1" applyFill="1" applyBorder="1" applyAlignment="1">
      <alignment horizontal="center" vertical="center" wrapText="1"/>
    </xf>
    <xf numFmtId="10" fontId="35" fillId="0" borderId="30" xfId="6" applyNumberFormat="1" applyFont="1" applyBorder="1" applyAlignment="1">
      <alignment horizontal="center" vertical="center" wrapText="1"/>
    </xf>
    <xf numFmtId="169" fontId="33" fillId="0" borderId="37" xfId="6" applyNumberFormat="1" applyFont="1" applyBorder="1" applyAlignment="1">
      <alignment horizontal="center" vertical="center"/>
    </xf>
    <xf numFmtId="182" fontId="14" fillId="0" borderId="6" xfId="0" applyNumberFormat="1" applyFont="1" applyBorder="1"/>
    <xf numFmtId="1" fontId="19" fillId="0" borderId="6" xfId="5" applyNumberFormat="1" applyFont="1" applyFill="1" applyBorder="1"/>
    <xf numFmtId="38" fontId="14" fillId="0" borderId="6" xfId="0" applyNumberFormat="1" applyFont="1" applyBorder="1"/>
    <xf numFmtId="0" fontId="48" fillId="0" borderId="68" xfId="0" applyFont="1" applyBorder="1" applyAlignment="1">
      <alignment horizontal="left"/>
    </xf>
    <xf numFmtId="0" fontId="49" fillId="0" borderId="68" xfId="0" applyFont="1" applyBorder="1"/>
    <xf numFmtId="183" fontId="48" fillId="0" borderId="68" xfId="0" applyNumberFormat="1" applyFont="1" applyBorder="1" applyAlignment="1">
      <alignment horizontal="right"/>
    </xf>
    <xf numFmtId="0" fontId="50" fillId="0" borderId="0" xfId="0" applyFont="1" applyAlignment="1">
      <alignment vertical="center"/>
    </xf>
    <xf numFmtId="0" fontId="51" fillId="0" borderId="0" xfId="0" applyFont="1"/>
    <xf numFmtId="183" fontId="52" fillId="0" borderId="0" xfId="0" applyNumberFormat="1" applyFont="1" applyAlignment="1">
      <alignment horizontal="centerContinuous" vertical="center"/>
    </xf>
    <xf numFmtId="0" fontId="50" fillId="0" borderId="0" xfId="0" applyFont="1" applyAlignment="1">
      <alignment horizontal="centerContinuous" vertical="center"/>
    </xf>
    <xf numFmtId="0" fontId="50" fillId="0" borderId="69" xfId="0" applyFont="1" applyBorder="1" applyAlignment="1">
      <alignment horizontal="centerContinuous" vertical="center"/>
    </xf>
    <xf numFmtId="0" fontId="51" fillId="0" borderId="0" xfId="0" applyFont="1" applyAlignment="1">
      <alignment horizontal="centerContinuous"/>
    </xf>
    <xf numFmtId="0" fontId="51" fillId="0" borderId="69" xfId="0" applyFont="1" applyBorder="1" applyAlignment="1">
      <alignment horizontal="centerContinuous"/>
    </xf>
    <xf numFmtId="0" fontId="51" fillId="0" borderId="70" xfId="0" applyFont="1" applyBorder="1"/>
    <xf numFmtId="183" fontId="52" fillId="0" borderId="71" xfId="0" applyNumberFormat="1" applyFont="1" applyBorder="1" applyAlignment="1">
      <alignment horizontal="center" vertical="center"/>
    </xf>
    <xf numFmtId="183" fontId="52" fillId="0" borderId="72" xfId="0" applyNumberFormat="1" applyFont="1" applyBorder="1" applyAlignment="1">
      <alignment horizontal="center" vertical="center"/>
    </xf>
    <xf numFmtId="183" fontId="52" fillId="0" borderId="73" xfId="0" applyNumberFormat="1" applyFont="1" applyBorder="1" applyAlignment="1">
      <alignment horizontal="center" vertical="center"/>
    </xf>
    <xf numFmtId="183" fontId="54" fillId="0" borderId="0" xfId="0" applyNumberFormat="1" applyFont="1" applyAlignment="1">
      <alignment horizontal="center" vertical="center"/>
    </xf>
    <xf numFmtId="183" fontId="54" fillId="0" borderId="69" xfId="0" applyNumberFormat="1" applyFont="1" applyBorder="1" applyAlignment="1">
      <alignment horizontal="center" vertical="center"/>
    </xf>
    <xf numFmtId="184" fontId="54" fillId="0" borderId="0" xfId="0" applyNumberFormat="1" applyFont="1" applyAlignment="1">
      <alignment horizontal="center" vertical="center"/>
    </xf>
    <xf numFmtId="185" fontId="54" fillId="0" borderId="69" xfId="0" applyNumberFormat="1" applyFont="1" applyBorder="1" applyAlignment="1">
      <alignment horizontal="center" vertical="center"/>
    </xf>
    <xf numFmtId="185" fontId="54" fillId="0" borderId="70" xfId="0" applyNumberFormat="1" applyFont="1" applyBorder="1" applyAlignment="1">
      <alignment horizontal="center" vertical="center"/>
    </xf>
    <xf numFmtId="183" fontId="53" fillId="0" borderId="0" xfId="0" applyNumberFormat="1" applyFont="1" applyAlignment="1">
      <alignment vertical="center"/>
    </xf>
    <xf numFmtId="183" fontId="54" fillId="0" borderId="0" xfId="0" applyNumberFormat="1" applyFont="1" applyAlignment="1">
      <alignment vertical="center"/>
    </xf>
    <xf numFmtId="184" fontId="54" fillId="0" borderId="0" xfId="0" applyNumberFormat="1" applyFont="1" applyAlignment="1">
      <alignment horizontal="right" vertical="center"/>
    </xf>
    <xf numFmtId="185" fontId="53" fillId="0" borderId="0" xfId="0" applyNumberFormat="1" applyFont="1" applyAlignment="1">
      <alignment horizontal="right" vertical="center"/>
    </xf>
    <xf numFmtId="0" fontId="0" fillId="0" borderId="0" xfId="0" applyAlignment="1">
      <alignment horizontal="left" indent="1"/>
    </xf>
    <xf numFmtId="0" fontId="48" fillId="0" borderId="0" xfId="0" applyFont="1" applyAlignment="1">
      <alignment horizontal="left"/>
    </xf>
    <xf numFmtId="37" fontId="55" fillId="0" borderId="0" xfId="0" applyNumberFormat="1" applyFont="1" applyAlignment="1">
      <alignment vertical="center"/>
    </xf>
    <xf numFmtId="0" fontId="50" fillId="0" borderId="74" xfId="0" applyFont="1" applyBorder="1" applyAlignment="1">
      <alignment vertical="center"/>
    </xf>
    <xf numFmtId="0" fontId="51" fillId="0" borderId="74" xfId="0" applyFont="1" applyBorder="1"/>
    <xf numFmtId="0" fontId="54" fillId="0" borderId="0" xfId="0" applyFont="1" applyAlignment="1">
      <alignment horizontal="left" indent="1"/>
    </xf>
    <xf numFmtId="0" fontId="49" fillId="0" borderId="0" xfId="0" applyFont="1"/>
    <xf numFmtId="183" fontId="52" fillId="0" borderId="0" xfId="0" applyNumberFormat="1" applyFont="1" applyAlignment="1">
      <alignment horizontal="right" vertical="center"/>
    </xf>
    <xf numFmtId="186" fontId="54" fillId="0" borderId="0" xfId="0" applyNumberFormat="1" applyFont="1" applyAlignment="1">
      <alignment vertical="center"/>
    </xf>
    <xf numFmtId="187" fontId="54" fillId="0" borderId="75" xfId="0" applyNumberFormat="1" applyFont="1" applyBorder="1" applyAlignment="1">
      <alignment vertical="center"/>
    </xf>
    <xf numFmtId="183" fontId="56" fillId="0" borderId="0" xfId="0" applyNumberFormat="1" applyFont="1" applyAlignment="1">
      <alignment horizontal="center" vertical="center"/>
    </xf>
    <xf numFmtId="185" fontId="0" fillId="0" borderId="0" xfId="0" applyNumberFormat="1"/>
    <xf numFmtId="173" fontId="0" fillId="0" borderId="0" xfId="0" applyNumberFormat="1"/>
    <xf numFmtId="0" fontId="0" fillId="0" borderId="76" xfId="0" applyBorder="1"/>
    <xf numFmtId="183" fontId="52" fillId="0" borderId="77" xfId="0" applyNumberFormat="1" applyFont="1" applyBorder="1" applyAlignment="1">
      <alignment horizontal="center" vertical="center"/>
    </xf>
    <xf numFmtId="9" fontId="57" fillId="0" borderId="76" xfId="3" applyFont="1" applyBorder="1"/>
    <xf numFmtId="3" fontId="7" fillId="0" borderId="42" xfId="6" applyNumberFormat="1" applyFont="1" applyBorder="1" applyAlignment="1">
      <alignment horizontal="center" vertical="center" wrapText="1"/>
    </xf>
    <xf numFmtId="3" fontId="35" fillId="0" borderId="42" xfId="6" applyNumberFormat="1" applyFont="1" applyBorder="1" applyAlignment="1">
      <alignment horizontal="center" vertical="center" wrapText="1"/>
    </xf>
    <xf numFmtId="185" fontId="57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2" fillId="0" borderId="0" xfId="0" applyFont="1"/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15" fillId="6" borderId="44" xfId="0" applyFont="1" applyFill="1" applyBorder="1" applyAlignment="1">
      <alignment horizontal="center"/>
    </xf>
    <xf numFmtId="0" fontId="14" fillId="6" borderId="45" xfId="0" applyFont="1" applyFill="1" applyBorder="1" applyAlignment="1">
      <alignment horizontal="center"/>
    </xf>
    <xf numFmtId="0" fontId="14" fillId="6" borderId="46" xfId="0" applyFont="1" applyFill="1" applyBorder="1" applyAlignment="1">
      <alignment horizontal="center"/>
    </xf>
    <xf numFmtId="0" fontId="43" fillId="7" borderId="0" xfId="9" applyFont="1" applyFill="1" applyAlignment="1">
      <alignment horizontal="center"/>
    </xf>
    <xf numFmtId="174" fontId="42" fillId="5" borderId="0" xfId="9" applyNumberFormat="1" applyFont="1" applyFill="1" applyAlignment="1">
      <alignment horizontal="center"/>
    </xf>
    <xf numFmtId="176" fontId="39" fillId="5" borderId="0" xfId="9" applyNumberFormat="1" applyFont="1" applyFill="1" applyAlignment="1">
      <alignment horizontal="center"/>
    </xf>
    <xf numFmtId="177" fontId="39" fillId="7" borderId="0" xfId="9" applyNumberFormat="1" applyFont="1" applyFill="1" applyAlignment="1">
      <alignment horizontal="center"/>
    </xf>
    <xf numFmtId="188" fontId="0" fillId="0" borderId="0" xfId="0" applyNumberFormat="1"/>
    <xf numFmtId="10" fontId="0" fillId="0" borderId="59" xfId="0" applyNumberFormat="1" applyFill="1" applyBorder="1"/>
    <xf numFmtId="0" fontId="54" fillId="0" borderId="75" xfId="0" applyFont="1" applyFill="1" applyBorder="1" applyAlignment="1">
      <alignment horizontal="left" indent="1"/>
    </xf>
    <xf numFmtId="0" fontId="49" fillId="0" borderId="75" xfId="0" applyFont="1" applyFill="1" applyBorder="1"/>
    <xf numFmtId="184" fontId="54" fillId="0" borderId="75" xfId="0" applyNumberFormat="1" applyFont="1" applyFill="1" applyBorder="1" applyAlignment="1">
      <alignment horizontal="right" vertical="center"/>
    </xf>
    <xf numFmtId="185" fontId="54" fillId="0" borderId="75" xfId="0" applyNumberFormat="1" applyFont="1" applyFill="1" applyBorder="1" applyAlignment="1">
      <alignment horizontal="right" vertical="center"/>
    </xf>
    <xf numFmtId="0" fontId="54" fillId="0" borderId="0" xfId="0" applyFont="1" applyFill="1" applyAlignment="1">
      <alignment horizontal="left" indent="1"/>
    </xf>
    <xf numFmtId="0" fontId="49" fillId="0" borderId="0" xfId="0" applyFont="1" applyFill="1"/>
    <xf numFmtId="184" fontId="54" fillId="0" borderId="0" xfId="0" applyNumberFormat="1" applyFont="1" applyFill="1" applyAlignment="1">
      <alignment horizontal="right" vertical="center"/>
    </xf>
    <xf numFmtId="185" fontId="54" fillId="0" borderId="0" xfId="0" applyNumberFormat="1" applyFont="1" applyFill="1" applyAlignment="1">
      <alignment horizontal="right" vertical="center"/>
    </xf>
    <xf numFmtId="190" fontId="26" fillId="0" borderId="0" xfId="0" applyNumberFormat="1" applyFont="1" applyFill="1" applyBorder="1"/>
    <xf numFmtId="9" fontId="0" fillId="0" borderId="0" xfId="3" applyFont="1"/>
    <xf numFmtId="0" fontId="0" fillId="0" borderId="0" xfId="0" applyBorder="1"/>
    <xf numFmtId="173" fontId="0" fillId="0" borderId="0" xfId="0" applyNumberFormat="1" applyBorder="1"/>
    <xf numFmtId="0" fontId="0" fillId="0" borderId="0" xfId="0" applyFill="1" applyBorder="1"/>
    <xf numFmtId="187" fontId="57" fillId="0" borderId="0" xfId="0" applyNumberFormat="1" applyFont="1" applyAlignment="1">
      <alignment vertical="center"/>
    </xf>
    <xf numFmtId="0" fontId="0" fillId="0" borderId="78" xfId="0" applyFill="1" applyBorder="1"/>
    <xf numFmtId="173" fontId="0" fillId="0" borderId="78" xfId="0" applyNumberFormat="1" applyBorder="1"/>
    <xf numFmtId="0" fontId="60" fillId="0" borderId="0" xfId="0" applyFont="1"/>
    <xf numFmtId="0" fontId="59" fillId="0" borderId="35" xfId="0" applyFont="1" applyBorder="1"/>
    <xf numFmtId="0" fontId="0" fillId="0" borderId="35" xfId="0" applyBorder="1"/>
    <xf numFmtId="0" fontId="15" fillId="0" borderId="0" xfId="0" applyFont="1" applyFill="1"/>
    <xf numFmtId="0" fontId="15" fillId="0" borderId="0" xfId="0" applyFont="1" applyFill="1" applyAlignment="1">
      <alignment horizontal="centerContinuous"/>
    </xf>
    <xf numFmtId="0" fontId="0" fillId="0" borderId="0" xfId="0" applyFill="1"/>
  </cellXfs>
  <cellStyles count="13">
    <cellStyle name="20% - Accent3 2" xfId="10" xr:uid="{216E2F5F-728A-4924-86BB-790E6C26E641}"/>
    <cellStyle name="Calculation 2" xfId="12" xr:uid="{835B8B88-0A17-43CE-9133-861C7E301EE3}"/>
    <cellStyle name="Comma" xfId="1" builtinId="3"/>
    <cellStyle name="Currency" xfId="2" builtinId="4"/>
    <cellStyle name="Currency 2" xfId="5" xr:uid="{C0BDE93D-6E86-412F-B812-20542F25E017}"/>
    <cellStyle name="Hyperlink 2" xfId="7" xr:uid="{6014284E-058D-41C4-B79A-569C1D7E3947}"/>
    <cellStyle name="Input 2" xfId="11" xr:uid="{7A591628-F54B-4B90-A572-30E5C6CBB0EF}"/>
    <cellStyle name="Normal" xfId="0" builtinId="0"/>
    <cellStyle name="Normal 10" xfId="9" xr:uid="{2943A081-606F-44A1-9AFF-FA90FF4515DB}"/>
    <cellStyle name="Normal 2" xfId="6" xr:uid="{4F34C87D-1F07-4E91-8561-C7F2F1047081}"/>
    <cellStyle name="Normal 3" xfId="8" xr:uid="{18747700-6B19-42F6-ADCC-196081EF8023}"/>
    <cellStyle name="Percent" xfId="3" builtinId="5"/>
    <cellStyle name="Percent 2" xfId="4" xr:uid="{C4F96934-73DC-4A89-98A2-3F82DA5C5642}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rgb="FFF25454"/>
        </patternFill>
      </fill>
    </dxf>
  </dxfs>
  <tableStyles count="0" defaultTableStyle="TableStyleMedium2" defaultPivotStyle="PivotStyleLight16"/>
  <colors>
    <mruColors>
      <color rgb="FF0000FF"/>
      <color rgb="FFF2545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1493520</xdr:colOff>
      <xdr:row>1</xdr:row>
      <xdr:rowOff>72277</xdr:rowOff>
    </xdr:from>
    <xdr:to>
      <xdr:col>11</xdr:col>
      <xdr:colOff>276088</xdr:colOff>
      <xdr:row>8</xdr:row>
      <xdr:rowOff>169285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FEA413-A514-4307-9EBF-26C0DC2D8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5960" y="255157"/>
          <a:ext cx="6836908" cy="13238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53551</xdr:colOff>
      <xdr:row>0</xdr:row>
      <xdr:rowOff>119064</xdr:rowOff>
    </xdr:from>
    <xdr:to>
      <xdr:col>2</xdr:col>
      <xdr:colOff>665946</xdr:colOff>
      <xdr:row>3</xdr:row>
      <xdr:rowOff>93345</xdr:rowOff>
    </xdr:to>
    <xdr:pic>
      <xdr:nvPicPr>
        <xdr:cNvPr id="2" name="Pathway Lending_Horiz.png">
          <a:extLst>
            <a:ext uri="{FF2B5EF4-FFF2-40B4-BE49-F238E27FC236}">
              <a16:creationId xmlns:a16="http://schemas.microsoft.com/office/drawing/2014/main" id="{D536494D-A293-45F2-8159-D048716BE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384" y="119064"/>
          <a:ext cx="2729697" cy="525461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105834</xdr:colOff>
      <xdr:row>1</xdr:row>
      <xdr:rowOff>35984</xdr:rowOff>
    </xdr:from>
    <xdr:to>
      <xdr:col>2</xdr:col>
      <xdr:colOff>1284818</xdr:colOff>
      <xdr:row>4</xdr:row>
      <xdr:rowOff>21245</xdr:rowOff>
    </xdr:to>
    <xdr:pic>
      <xdr:nvPicPr>
        <xdr:cNvPr id="2" name="Pathway Lending_Horiz.png">
          <a:extLst>
            <a:ext uri="{FF2B5EF4-FFF2-40B4-BE49-F238E27FC236}">
              <a16:creationId xmlns:a16="http://schemas.microsoft.com/office/drawing/2014/main" id="{53AF6136-2339-4F7D-B333-2346B4913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667" y="205317"/>
          <a:ext cx="2606675" cy="504691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129540</xdr:rowOff>
    </xdr:from>
    <xdr:to>
      <xdr:col>2</xdr:col>
      <xdr:colOff>360045</xdr:colOff>
      <xdr:row>3</xdr:row>
      <xdr:rowOff>114801</xdr:rowOff>
    </xdr:to>
    <xdr:pic>
      <xdr:nvPicPr>
        <xdr:cNvPr id="2" name="Pathway Lending_Horiz.png">
          <a:extLst>
            <a:ext uri="{FF2B5EF4-FFF2-40B4-BE49-F238E27FC236}">
              <a16:creationId xmlns:a16="http://schemas.microsoft.com/office/drawing/2014/main" id="{DE901298-2CCB-40E7-81B5-5011CAB3F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29540"/>
          <a:ext cx="2613660" cy="511041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104567</xdr:rowOff>
    </xdr:from>
    <xdr:to>
      <xdr:col>3</xdr:col>
      <xdr:colOff>472440</xdr:colOff>
      <xdr:row>3</xdr:row>
      <xdr:rowOff>91941</xdr:rowOff>
    </xdr:to>
    <xdr:pic>
      <xdr:nvPicPr>
        <xdr:cNvPr id="2" name="Pathway Lending_Horiz.png">
          <a:extLst>
            <a:ext uri="{FF2B5EF4-FFF2-40B4-BE49-F238E27FC236}">
              <a16:creationId xmlns:a16="http://schemas.microsoft.com/office/drawing/2014/main" id="{234BE9E7-BD97-4B5C-BB9D-DE40A6FD0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5" y="104567"/>
          <a:ext cx="2533650" cy="49219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/REFinInv/Ex20_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/REFinInv/Finance/10th%20edition/Chapters/Chapter%2019%20templates/cm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EFinInv\Finance\10th%20edition\Chapters\Chapter%2019%20templates\IO-P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CREIF &amp; S&amp;P"/>
      <sheetName val="REITs &amp; S&amp;P"/>
      <sheetName val="A"/>
    </sheetNames>
    <sheetDataSet>
      <sheetData sheetId="0">
        <row r="11">
          <cell r="D11">
            <v>0.10256580965724643</v>
          </cell>
        </row>
      </sheetData>
      <sheetData sheetId="1">
        <row r="11">
          <cell r="D11">
            <v>0.10256580965724643</v>
          </cell>
          <cell r="F11">
            <v>3.9374304347826112</v>
          </cell>
        </row>
        <row r="12">
          <cell r="D12">
            <v>9.9699466842594398E-2</v>
          </cell>
          <cell r="F12">
            <v>3.9434344565217412</v>
          </cell>
        </row>
        <row r="13">
          <cell r="D13">
            <v>9.6926697633896594E-2</v>
          </cell>
          <cell r="F13">
            <v>3.949438478260872</v>
          </cell>
        </row>
        <row r="14">
          <cell r="D14">
            <v>9.4255760498720725E-2</v>
          </cell>
          <cell r="F14">
            <v>3.955442500000002</v>
          </cell>
        </row>
        <row r="15">
          <cell r="D15">
            <v>9.1695554459503378E-2</v>
          </cell>
          <cell r="F15">
            <v>3.9614465217391328</v>
          </cell>
        </row>
        <row r="16">
          <cell r="D16">
            <v>8.9255608650344487E-2</v>
          </cell>
          <cell r="F16">
            <v>3.9674505434782628</v>
          </cell>
        </row>
        <row r="17">
          <cell r="D17">
            <v>8.6946048161577236E-2</v>
          </cell>
          <cell r="F17">
            <v>3.9734545652173923</v>
          </cell>
        </row>
        <row r="18">
          <cell r="D18">
            <v>8.4777529769104062E-2</v>
          </cell>
          <cell r="F18">
            <v>3.9794585869565231</v>
          </cell>
        </row>
        <row r="19">
          <cell r="D19">
            <v>8.2761141026761451E-2</v>
          </cell>
          <cell r="F19">
            <v>3.9854626086956535</v>
          </cell>
        </row>
        <row r="20">
          <cell r="D20">
            <v>8.0908256821018112E-2</v>
          </cell>
          <cell r="F20">
            <v>3.9914666304347839</v>
          </cell>
        </row>
        <row r="21">
          <cell r="D21">
            <v>7.9230349153871005E-2</v>
          </cell>
          <cell r="F21">
            <v>3.9974706521739138</v>
          </cell>
        </row>
        <row r="22">
          <cell r="D22">
            <v>7.7738748894852619E-2</v>
          </cell>
          <cell r="F22">
            <v>4.0034746739130451</v>
          </cell>
        </row>
        <row r="23">
          <cell r="D23">
            <v>7.6444362642995103E-2</v>
          </cell>
          <cell r="F23">
            <v>4.0094786956521746</v>
          </cell>
        </row>
        <row r="24">
          <cell r="D24">
            <v>7.5357353506573591E-2</v>
          </cell>
          <cell r="F24">
            <v>4.015482717391305</v>
          </cell>
        </row>
        <row r="25">
          <cell r="D25">
            <v>7.4486800995879857E-2</v>
          </cell>
          <cell r="F25">
            <v>4.0214867391304354</v>
          </cell>
        </row>
        <row r="26">
          <cell r="D26">
            <v>7.3840361355759068E-2</v>
          </cell>
          <cell r="F26">
            <v>4.0274907608695658</v>
          </cell>
        </row>
        <row r="27">
          <cell r="D27">
            <v>7.3423954232678723E-2</v>
          </cell>
          <cell r="F27">
            <v>4.0334947826086962</v>
          </cell>
        </row>
        <row r="28">
          <cell r="D28">
            <v>7.3241503211226341E-2</v>
          </cell>
          <cell r="F28">
            <v>4.0394988043478257</v>
          </cell>
        </row>
        <row r="29">
          <cell r="D29">
            <v>7.329475545754835E-2</v>
          </cell>
          <cell r="F29">
            <v>4.045502826086957</v>
          </cell>
        </row>
        <row r="30">
          <cell r="D30">
            <v>7.358319923724238E-2</v>
          </cell>
          <cell r="F30">
            <v>4.0515068478260865</v>
          </cell>
        </row>
        <row r="31">
          <cell r="D31">
            <v>7.4104088212849348E-2</v>
          </cell>
          <cell r="F31">
            <v>4.0575108695652169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REITs &amp; S&amp;P"/>
    </sheetNames>
    <sheetDataSet>
      <sheetData sheetId="0">
        <row r="171">
          <cell r="D171">
            <v>0</v>
          </cell>
          <cell r="E171">
            <v>0.19104004814636055</v>
          </cell>
        </row>
        <row r="172">
          <cell r="D172">
            <v>0.05</v>
          </cell>
          <cell r="E172">
            <v>0.17331256212247201</v>
          </cell>
        </row>
        <row r="173">
          <cell r="D173">
            <v>0.1</v>
          </cell>
          <cell r="E173">
            <v>0.16098670463276857</v>
          </cell>
        </row>
        <row r="174">
          <cell r="D174">
            <v>0.15000000000000002</v>
          </cell>
          <cell r="E174">
            <v>0.15532835618367249</v>
          </cell>
        </row>
        <row r="175">
          <cell r="D175">
            <v>0.2</v>
          </cell>
          <cell r="E175">
            <v>0.14993493952328116</v>
          </cell>
        </row>
        <row r="176">
          <cell r="D176">
            <v>0.25</v>
          </cell>
          <cell r="E176">
            <v>0.14737549187106463</v>
          </cell>
        </row>
        <row r="177">
          <cell r="D177">
            <v>0.3</v>
          </cell>
          <cell r="E177">
            <v>0.14738328611616652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>
        <row r="60">
          <cell r="F60">
            <v>0.2</v>
          </cell>
        </row>
        <row r="135">
          <cell r="E135">
            <v>5.3792676242975117E-2</v>
          </cell>
        </row>
        <row r="136">
          <cell r="E136">
            <v>6.5681770075035173E-2</v>
          </cell>
        </row>
        <row r="137">
          <cell r="E137">
            <v>7.9037589924664753E-2</v>
          </cell>
        </row>
        <row r="138">
          <cell r="E138">
            <v>9.3672789192370182E-2</v>
          </cell>
        </row>
        <row r="139">
          <cell r="E139">
            <v>0.10935888548657445</v>
          </cell>
        </row>
        <row r="140">
          <cell r="E140">
            <v>0.12586561470778773</v>
          </cell>
        </row>
        <row r="141">
          <cell r="E141">
            <v>0.14298917762938032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06C4D-6FBC-4D5A-83B4-44B4C1B5E775}">
  <sheetPr>
    <pageSetUpPr fitToPage="1"/>
  </sheetPr>
  <dimension ref="B1:M309"/>
  <sheetViews>
    <sheetView showGridLines="0" zoomScale="85" zoomScaleNormal="85" workbookViewId="0">
      <selection activeCell="B27" sqref="B27:G28"/>
    </sheetView>
  </sheetViews>
  <sheetFormatPr defaultRowHeight="13.5" x14ac:dyDescent="0.25"/>
  <cols>
    <col min="1" max="1" width="3" customWidth="1"/>
    <col min="2" max="2" width="3.85546875" customWidth="1"/>
    <col min="3" max="3" width="31.85546875" customWidth="1"/>
    <col min="9" max="9" width="15.28515625" customWidth="1"/>
    <col min="10" max="10" width="17" customWidth="1"/>
    <col min="13" max="13" width="36.28515625" customWidth="1"/>
  </cols>
  <sheetData>
    <row r="1" spans="2:13" ht="14.25" thickBot="1" x14ac:dyDescent="0.3"/>
    <row r="2" spans="2:13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 spans="2:13" x14ac:dyDescent="0.25">
      <c r="B3" s="4"/>
      <c r="M3" s="5"/>
    </row>
    <row r="4" spans="2:13" x14ac:dyDescent="0.25">
      <c r="B4" s="4"/>
      <c r="M4" s="5"/>
    </row>
    <row r="5" spans="2:13" x14ac:dyDescent="0.25">
      <c r="B5" s="4"/>
      <c r="M5" s="5"/>
    </row>
    <row r="6" spans="2:13" x14ac:dyDescent="0.25">
      <c r="B6" s="4"/>
      <c r="M6" s="5"/>
    </row>
    <row r="7" spans="2:13" x14ac:dyDescent="0.25">
      <c r="B7" s="4"/>
      <c r="M7" s="5"/>
    </row>
    <row r="8" spans="2:13" x14ac:dyDescent="0.25">
      <c r="B8" s="4"/>
      <c r="M8" s="5"/>
    </row>
    <row r="9" spans="2:13" ht="14.25" thickBot="1" x14ac:dyDescent="0.3"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8"/>
    </row>
    <row r="10" spans="2:13" ht="19.5" thickBot="1" x14ac:dyDescent="0.35">
      <c r="B10" s="18" t="s">
        <v>132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/>
    </row>
    <row r="11" spans="2:13" x14ac:dyDescent="0.25">
      <c r="B11" s="4"/>
      <c r="M11" s="5"/>
    </row>
    <row r="12" spans="2:13" x14ac:dyDescent="0.25">
      <c r="B12" s="4"/>
      <c r="M12" s="5"/>
    </row>
    <row r="13" spans="2:13" x14ac:dyDescent="0.25">
      <c r="B13" s="4"/>
      <c r="M13" s="5"/>
    </row>
    <row r="14" spans="2:13" x14ac:dyDescent="0.25">
      <c r="B14" s="4"/>
      <c r="M14" s="5"/>
    </row>
    <row r="15" spans="2:13" x14ac:dyDescent="0.25">
      <c r="B15" s="9" t="s">
        <v>0</v>
      </c>
      <c r="M15" s="5"/>
    </row>
    <row r="16" spans="2:13" x14ac:dyDescent="0.25">
      <c r="B16" s="4">
        <v>1</v>
      </c>
      <c r="C16" t="s">
        <v>1</v>
      </c>
      <c r="D16" t="s">
        <v>2</v>
      </c>
      <c r="M16" s="5"/>
    </row>
    <row r="17" spans="2:13" x14ac:dyDescent="0.25">
      <c r="B17" s="4">
        <f>B16+1</f>
        <v>2</v>
      </c>
      <c r="C17" t="s">
        <v>3</v>
      </c>
      <c r="D17" t="s">
        <v>4</v>
      </c>
      <c r="M17" s="5"/>
    </row>
    <row r="18" spans="2:13" ht="13.9" customHeight="1" x14ac:dyDescent="0.25">
      <c r="B18" s="4">
        <f t="shared" ref="B18:B22" si="0">B17+1</f>
        <v>3</v>
      </c>
      <c r="C18" t="s">
        <v>176</v>
      </c>
      <c r="D18" t="s">
        <v>5</v>
      </c>
      <c r="M18" s="5"/>
    </row>
    <row r="19" spans="2:13" ht="13.9" customHeight="1" x14ac:dyDescent="0.25">
      <c r="B19" s="4">
        <f t="shared" si="0"/>
        <v>4</v>
      </c>
      <c r="C19" t="s">
        <v>177</v>
      </c>
      <c r="D19" t="s">
        <v>6</v>
      </c>
      <c r="M19" s="5"/>
    </row>
    <row r="20" spans="2:13" ht="15" customHeight="1" x14ac:dyDescent="0.25">
      <c r="B20" s="4">
        <f t="shared" si="0"/>
        <v>5</v>
      </c>
      <c r="C20" t="s">
        <v>178</v>
      </c>
      <c r="D20" t="s">
        <v>7</v>
      </c>
      <c r="M20" s="5"/>
    </row>
    <row r="21" spans="2:13" ht="14.45" customHeight="1" x14ac:dyDescent="0.25">
      <c r="B21" s="4">
        <f t="shared" si="0"/>
        <v>6</v>
      </c>
      <c r="C21" t="s">
        <v>167</v>
      </c>
      <c r="D21" t="s">
        <v>179</v>
      </c>
      <c r="M21" s="5"/>
    </row>
    <row r="22" spans="2:13" x14ac:dyDescent="0.25">
      <c r="B22" s="4">
        <f t="shared" si="0"/>
        <v>7</v>
      </c>
      <c r="C22" t="s">
        <v>172</v>
      </c>
      <c r="D22" t="s">
        <v>180</v>
      </c>
      <c r="M22" s="5"/>
    </row>
    <row r="23" spans="2:13" ht="14.25" thickBot="1" x14ac:dyDescent="0.3">
      <c r="B23" s="4"/>
      <c r="M23" s="5"/>
    </row>
    <row r="24" spans="2:13" ht="14.45" customHeight="1" thickBot="1" x14ac:dyDescent="0.3">
      <c r="B24" s="387" t="s">
        <v>8</v>
      </c>
      <c r="C24" s="388"/>
      <c r="D24" s="388"/>
      <c r="E24" s="388"/>
      <c r="F24" s="388"/>
      <c r="G24" s="388"/>
      <c r="H24" s="11"/>
      <c r="I24" s="12"/>
      <c r="J24" s="13"/>
      <c r="M24" s="5"/>
    </row>
    <row r="25" spans="2:13" x14ac:dyDescent="0.25">
      <c r="B25" s="387" t="s">
        <v>181</v>
      </c>
      <c r="C25" s="388"/>
      <c r="D25" s="388"/>
      <c r="E25" s="388"/>
      <c r="F25" s="388"/>
      <c r="G25" s="10"/>
      <c r="H25" s="11"/>
      <c r="I25" s="146"/>
      <c r="J25" s="147"/>
      <c r="M25" s="5"/>
    </row>
    <row r="26" spans="2:13" ht="14.25" thickBot="1" x14ac:dyDescent="0.3">
      <c r="B26" s="14"/>
      <c r="C26" s="15"/>
      <c r="D26" s="15"/>
      <c r="E26" s="15"/>
      <c r="F26" s="15"/>
      <c r="G26" s="15"/>
      <c r="H26" s="15"/>
      <c r="M26" s="5"/>
    </row>
    <row r="27" spans="2:13" ht="14.25" thickBot="1" x14ac:dyDescent="0.3">
      <c r="B27" s="389" t="s">
        <v>183</v>
      </c>
      <c r="C27" s="390"/>
      <c r="D27" s="390"/>
      <c r="E27" s="390"/>
      <c r="F27" s="390"/>
      <c r="G27" s="390"/>
      <c r="I27" s="16" t="s">
        <v>9</v>
      </c>
      <c r="J27" s="17" t="s">
        <v>9</v>
      </c>
      <c r="M27" s="5"/>
    </row>
    <row r="28" spans="2:13" x14ac:dyDescent="0.25">
      <c r="B28" s="389" t="s">
        <v>182</v>
      </c>
      <c r="C28" s="390"/>
      <c r="D28" s="390"/>
      <c r="E28" s="390"/>
      <c r="F28" s="390"/>
      <c r="G28" s="390"/>
      <c r="I28" s="148" t="s">
        <v>9</v>
      </c>
      <c r="J28" s="149" t="s">
        <v>9</v>
      </c>
      <c r="M28" s="5"/>
    </row>
    <row r="29" spans="2:13" x14ac:dyDescent="0.25">
      <c r="B29" s="4"/>
      <c r="M29" s="5"/>
    </row>
    <row r="30" spans="2:13" x14ac:dyDescent="0.25">
      <c r="B30" s="4"/>
      <c r="M30" s="5"/>
    </row>
    <row r="31" spans="2:13" x14ac:dyDescent="0.25">
      <c r="B31" s="4"/>
      <c r="M31" s="5"/>
    </row>
    <row r="32" spans="2:13" x14ac:dyDescent="0.25">
      <c r="B32" s="4"/>
      <c r="M32" s="5"/>
    </row>
    <row r="33" spans="2:13" x14ac:dyDescent="0.25">
      <c r="B33" s="4"/>
      <c r="M33" s="5"/>
    </row>
    <row r="34" spans="2:13" x14ac:dyDescent="0.25">
      <c r="B34" s="4"/>
      <c r="M34" s="5"/>
    </row>
    <row r="35" spans="2:13" x14ac:dyDescent="0.25">
      <c r="B35" s="4"/>
      <c r="M35" s="5"/>
    </row>
    <row r="36" spans="2:13" x14ac:dyDescent="0.25">
      <c r="B36" s="4"/>
      <c r="M36" s="5"/>
    </row>
    <row r="37" spans="2:13" x14ac:dyDescent="0.25">
      <c r="B37" s="4"/>
      <c r="M37" s="5"/>
    </row>
    <row r="38" spans="2:13" x14ac:dyDescent="0.25">
      <c r="B38" s="4"/>
      <c r="M38" s="5"/>
    </row>
    <row r="39" spans="2:13" x14ac:dyDescent="0.25">
      <c r="B39" s="4"/>
      <c r="M39" s="5"/>
    </row>
    <row r="40" spans="2:13" x14ac:dyDescent="0.25">
      <c r="B40" s="4"/>
      <c r="M40" s="5"/>
    </row>
    <row r="41" spans="2:13" x14ac:dyDescent="0.25">
      <c r="B41" s="4"/>
      <c r="M41" s="5"/>
    </row>
    <row r="42" spans="2:13" x14ac:dyDescent="0.25">
      <c r="B42" s="4"/>
      <c r="M42" s="5"/>
    </row>
    <row r="43" spans="2:13" x14ac:dyDescent="0.25">
      <c r="B43" s="4"/>
      <c r="M43" s="5"/>
    </row>
    <row r="44" spans="2:13" x14ac:dyDescent="0.25">
      <c r="B44" s="4"/>
      <c r="M44" s="5"/>
    </row>
    <row r="45" spans="2:13" x14ac:dyDescent="0.25">
      <c r="B45" s="4"/>
      <c r="M45" s="5"/>
    </row>
    <row r="46" spans="2:13" x14ac:dyDescent="0.25">
      <c r="B46" s="4"/>
      <c r="M46" s="5"/>
    </row>
    <row r="47" spans="2:13" x14ac:dyDescent="0.25">
      <c r="B47" s="4"/>
      <c r="M47" s="5"/>
    </row>
    <row r="48" spans="2:13" x14ac:dyDescent="0.25">
      <c r="B48" s="4"/>
      <c r="M48" s="5"/>
    </row>
    <row r="49" spans="2:13" x14ac:dyDescent="0.25">
      <c r="B49" s="4"/>
      <c r="M49" s="5"/>
    </row>
    <row r="50" spans="2:13" x14ac:dyDescent="0.25">
      <c r="B50" s="4"/>
      <c r="M50" s="5"/>
    </row>
    <row r="51" spans="2:13" x14ac:dyDescent="0.25">
      <c r="B51" s="4"/>
      <c r="M51" s="5"/>
    </row>
    <row r="52" spans="2:13" x14ac:dyDescent="0.25">
      <c r="B52" s="4"/>
      <c r="M52" s="5"/>
    </row>
    <row r="53" spans="2:13" x14ac:dyDescent="0.25">
      <c r="B53" s="4"/>
      <c r="M53" s="5"/>
    </row>
    <row r="54" spans="2:13" x14ac:dyDescent="0.25">
      <c r="B54" s="4"/>
      <c r="M54" s="5"/>
    </row>
    <row r="55" spans="2:13" x14ac:dyDescent="0.25">
      <c r="B55" s="4"/>
      <c r="M55" s="5"/>
    </row>
    <row r="56" spans="2:13" x14ac:dyDescent="0.25">
      <c r="B56" s="4"/>
      <c r="M56" s="5"/>
    </row>
    <row r="57" spans="2:13" x14ac:dyDescent="0.25">
      <c r="B57" s="4"/>
      <c r="M57" s="5"/>
    </row>
    <row r="58" spans="2:13" x14ac:dyDescent="0.25">
      <c r="B58" s="4"/>
      <c r="M58" s="5"/>
    </row>
    <row r="59" spans="2:13" x14ac:dyDescent="0.25">
      <c r="B59" s="4"/>
      <c r="M59" s="5"/>
    </row>
    <row r="60" spans="2:13" x14ac:dyDescent="0.25">
      <c r="B60" s="4"/>
      <c r="M60" s="5"/>
    </row>
    <row r="61" spans="2:13" x14ac:dyDescent="0.25">
      <c r="B61" s="4"/>
      <c r="M61" s="5"/>
    </row>
    <row r="62" spans="2:13" x14ac:dyDescent="0.25">
      <c r="B62" s="4"/>
      <c r="M62" s="5"/>
    </row>
    <row r="63" spans="2:13" x14ac:dyDescent="0.25">
      <c r="B63" s="4"/>
      <c r="M63" s="5"/>
    </row>
    <row r="64" spans="2:13" x14ac:dyDescent="0.25">
      <c r="B64" s="4"/>
      <c r="M64" s="5"/>
    </row>
    <row r="65" spans="2:13" x14ac:dyDescent="0.25">
      <c r="B65" s="4"/>
      <c r="M65" s="5"/>
    </row>
    <row r="66" spans="2:13" x14ac:dyDescent="0.25">
      <c r="B66" s="4"/>
      <c r="M66" s="5"/>
    </row>
    <row r="67" spans="2:13" x14ac:dyDescent="0.25">
      <c r="B67" s="4"/>
      <c r="M67" s="5"/>
    </row>
    <row r="68" spans="2:13" x14ac:dyDescent="0.25">
      <c r="B68" s="4"/>
      <c r="M68" s="5"/>
    </row>
    <row r="69" spans="2:13" x14ac:dyDescent="0.25">
      <c r="B69" s="4"/>
      <c r="M69" s="5"/>
    </row>
    <row r="70" spans="2:13" x14ac:dyDescent="0.25">
      <c r="B70" s="4"/>
      <c r="M70" s="5"/>
    </row>
    <row r="71" spans="2:13" x14ac:dyDescent="0.25">
      <c r="B71" s="4"/>
      <c r="M71" s="5"/>
    </row>
    <row r="72" spans="2:13" x14ac:dyDescent="0.25">
      <c r="B72" s="4"/>
      <c r="M72" s="5"/>
    </row>
    <row r="73" spans="2:13" x14ac:dyDescent="0.25">
      <c r="B73" s="4"/>
      <c r="M73" s="5"/>
    </row>
    <row r="74" spans="2:13" x14ac:dyDescent="0.25">
      <c r="B74" s="4"/>
      <c r="M74" s="5"/>
    </row>
    <row r="75" spans="2:13" x14ac:dyDescent="0.25">
      <c r="B75" s="4"/>
      <c r="M75" s="5"/>
    </row>
    <row r="76" spans="2:13" x14ac:dyDescent="0.25">
      <c r="B76" s="4"/>
      <c r="M76" s="5"/>
    </row>
    <row r="77" spans="2:13" x14ac:dyDescent="0.25">
      <c r="B77" s="4"/>
      <c r="M77" s="5"/>
    </row>
    <row r="78" spans="2:13" x14ac:dyDescent="0.25">
      <c r="B78" s="4"/>
      <c r="M78" s="5"/>
    </row>
    <row r="79" spans="2:13" x14ac:dyDescent="0.25">
      <c r="B79" s="4"/>
      <c r="M79" s="5"/>
    </row>
    <row r="80" spans="2:13" x14ac:dyDescent="0.25">
      <c r="B80" s="4"/>
      <c r="M80" s="5"/>
    </row>
    <row r="81" spans="2:13" x14ac:dyDescent="0.25">
      <c r="B81" s="4"/>
      <c r="M81" s="5"/>
    </row>
    <row r="82" spans="2:13" x14ac:dyDescent="0.25">
      <c r="B82" s="4"/>
      <c r="M82" s="5"/>
    </row>
    <row r="83" spans="2:13" x14ac:dyDescent="0.25">
      <c r="B83" s="4"/>
      <c r="M83" s="5"/>
    </row>
    <row r="84" spans="2:13" x14ac:dyDescent="0.25">
      <c r="B84" s="4"/>
      <c r="M84" s="5"/>
    </row>
    <row r="85" spans="2:13" x14ac:dyDescent="0.25">
      <c r="B85" s="4"/>
      <c r="M85" s="5"/>
    </row>
    <row r="86" spans="2:13" x14ac:dyDescent="0.25">
      <c r="B86" s="4"/>
      <c r="M86" s="5"/>
    </row>
    <row r="87" spans="2:13" x14ac:dyDescent="0.25">
      <c r="B87" s="4"/>
      <c r="M87" s="5"/>
    </row>
    <row r="88" spans="2:13" x14ac:dyDescent="0.25">
      <c r="B88" s="4"/>
      <c r="M88" s="5"/>
    </row>
    <row r="89" spans="2:13" x14ac:dyDescent="0.25">
      <c r="B89" s="4"/>
      <c r="M89" s="5"/>
    </row>
    <row r="90" spans="2:13" x14ac:dyDescent="0.25">
      <c r="B90" s="4"/>
      <c r="M90" s="5"/>
    </row>
    <row r="91" spans="2:13" x14ac:dyDescent="0.25">
      <c r="B91" s="4"/>
      <c r="M91" s="5"/>
    </row>
    <row r="92" spans="2:13" x14ac:dyDescent="0.25">
      <c r="B92" s="4"/>
      <c r="M92" s="5"/>
    </row>
    <row r="93" spans="2:13" x14ac:dyDescent="0.25">
      <c r="B93" s="4"/>
      <c r="M93" s="5"/>
    </row>
    <row r="94" spans="2:13" x14ac:dyDescent="0.25">
      <c r="B94" s="4"/>
      <c r="M94" s="5"/>
    </row>
    <row r="95" spans="2:13" x14ac:dyDescent="0.25">
      <c r="B95" s="4"/>
      <c r="M95" s="5"/>
    </row>
    <row r="96" spans="2:13" x14ac:dyDescent="0.25">
      <c r="B96" s="4"/>
      <c r="M96" s="5"/>
    </row>
    <row r="97" spans="2:13" x14ac:dyDescent="0.25">
      <c r="B97" s="4"/>
      <c r="M97" s="5"/>
    </row>
    <row r="98" spans="2:13" x14ac:dyDescent="0.25">
      <c r="B98" s="4"/>
      <c r="M98" s="5"/>
    </row>
    <row r="99" spans="2:13" x14ac:dyDescent="0.25">
      <c r="B99" s="4"/>
      <c r="M99" s="5"/>
    </row>
    <row r="100" spans="2:13" x14ac:dyDescent="0.25">
      <c r="B100" s="4"/>
      <c r="M100" s="5"/>
    </row>
    <row r="101" spans="2:13" x14ac:dyDescent="0.25">
      <c r="B101" s="4"/>
      <c r="M101" s="5"/>
    </row>
    <row r="102" spans="2:13" x14ac:dyDescent="0.25">
      <c r="B102" s="4"/>
      <c r="M102" s="5"/>
    </row>
    <row r="103" spans="2:13" x14ac:dyDescent="0.25">
      <c r="B103" s="4"/>
      <c r="M103" s="5"/>
    </row>
    <row r="104" spans="2:13" x14ac:dyDescent="0.25">
      <c r="B104" s="4"/>
      <c r="M104" s="5"/>
    </row>
    <row r="105" spans="2:13" x14ac:dyDescent="0.25">
      <c r="B105" s="4"/>
      <c r="M105" s="5"/>
    </row>
    <row r="106" spans="2:13" x14ac:dyDescent="0.25">
      <c r="B106" s="4"/>
      <c r="M106" s="5"/>
    </row>
    <row r="107" spans="2:13" x14ac:dyDescent="0.25">
      <c r="B107" s="4"/>
      <c r="M107" s="5"/>
    </row>
    <row r="108" spans="2:13" x14ac:dyDescent="0.25">
      <c r="B108" s="4"/>
      <c r="M108" s="5"/>
    </row>
    <row r="109" spans="2:13" x14ac:dyDescent="0.25">
      <c r="B109" s="4"/>
      <c r="M109" s="5"/>
    </row>
    <row r="110" spans="2:13" x14ac:dyDescent="0.25">
      <c r="B110" s="4"/>
      <c r="M110" s="5"/>
    </row>
    <row r="111" spans="2:13" x14ac:dyDescent="0.25">
      <c r="B111" s="4"/>
      <c r="M111" s="5"/>
    </row>
    <row r="112" spans="2:13" x14ac:dyDescent="0.25">
      <c r="B112" s="4"/>
      <c r="M112" s="5"/>
    </row>
    <row r="113" spans="2:13" x14ac:dyDescent="0.25">
      <c r="B113" s="4"/>
      <c r="M113" s="5"/>
    </row>
    <row r="114" spans="2:13" x14ac:dyDescent="0.25">
      <c r="B114" s="4"/>
      <c r="M114" s="5"/>
    </row>
    <row r="115" spans="2:13" x14ac:dyDescent="0.25">
      <c r="B115" s="4"/>
      <c r="M115" s="5"/>
    </row>
    <row r="116" spans="2:13" x14ac:dyDescent="0.25">
      <c r="B116" s="4"/>
      <c r="M116" s="5"/>
    </row>
    <row r="117" spans="2:13" x14ac:dyDescent="0.25">
      <c r="B117" s="4"/>
      <c r="M117" s="5"/>
    </row>
    <row r="118" spans="2:13" x14ac:dyDescent="0.25">
      <c r="B118" s="4"/>
      <c r="M118" s="5"/>
    </row>
    <row r="119" spans="2:13" x14ac:dyDescent="0.25">
      <c r="B119" s="4"/>
      <c r="M119" s="5"/>
    </row>
    <row r="120" spans="2:13" x14ac:dyDescent="0.25">
      <c r="B120" s="4"/>
      <c r="M120" s="5"/>
    </row>
    <row r="121" spans="2:13" x14ac:dyDescent="0.25">
      <c r="B121" s="4"/>
      <c r="M121" s="5"/>
    </row>
    <row r="122" spans="2:13" x14ac:dyDescent="0.25">
      <c r="B122" s="4"/>
      <c r="M122" s="5"/>
    </row>
    <row r="123" spans="2:13" x14ac:dyDescent="0.25">
      <c r="B123" s="4"/>
      <c r="M123" s="5"/>
    </row>
    <row r="124" spans="2:13" x14ac:dyDescent="0.25">
      <c r="B124" s="4"/>
      <c r="M124" s="5"/>
    </row>
    <row r="125" spans="2:13" x14ac:dyDescent="0.25">
      <c r="B125" s="4"/>
      <c r="M125" s="5"/>
    </row>
    <row r="126" spans="2:13" x14ac:dyDescent="0.25">
      <c r="B126" s="4"/>
      <c r="M126" s="5"/>
    </row>
    <row r="127" spans="2:13" x14ac:dyDescent="0.25">
      <c r="B127" s="4"/>
      <c r="M127" s="5"/>
    </row>
    <row r="128" spans="2:13" x14ac:dyDescent="0.25">
      <c r="B128" s="4"/>
      <c r="M128" s="5"/>
    </row>
    <row r="129" spans="2:13" x14ac:dyDescent="0.25">
      <c r="B129" s="4"/>
      <c r="M129" s="5"/>
    </row>
    <row r="130" spans="2:13" x14ac:dyDescent="0.25">
      <c r="B130" s="4"/>
      <c r="M130" s="5"/>
    </row>
    <row r="131" spans="2:13" x14ac:dyDescent="0.25">
      <c r="B131" s="4"/>
      <c r="M131" s="5"/>
    </row>
    <row r="132" spans="2:13" x14ac:dyDescent="0.25">
      <c r="B132" s="4"/>
      <c r="M132" s="5"/>
    </row>
    <row r="133" spans="2:13" x14ac:dyDescent="0.25">
      <c r="B133" s="4"/>
      <c r="M133" s="5"/>
    </row>
    <row r="134" spans="2:13" x14ac:dyDescent="0.25">
      <c r="B134" s="4"/>
      <c r="M134" s="5"/>
    </row>
    <row r="135" spans="2:13" x14ac:dyDescent="0.25">
      <c r="B135" s="4"/>
      <c r="M135" s="5"/>
    </row>
    <row r="136" spans="2:13" x14ac:dyDescent="0.25">
      <c r="B136" s="4"/>
      <c r="M136" s="5"/>
    </row>
    <row r="137" spans="2:13" x14ac:dyDescent="0.25">
      <c r="B137" s="4"/>
      <c r="M137" s="5"/>
    </row>
    <row r="138" spans="2:13" x14ac:dyDescent="0.25">
      <c r="B138" s="4"/>
      <c r="M138" s="5"/>
    </row>
    <row r="139" spans="2:13" x14ac:dyDescent="0.25">
      <c r="B139" s="4"/>
      <c r="M139" s="5"/>
    </row>
    <row r="140" spans="2:13" x14ac:dyDescent="0.25">
      <c r="B140" s="4"/>
      <c r="M140" s="5"/>
    </row>
    <row r="141" spans="2:13" x14ac:dyDescent="0.25">
      <c r="B141" s="4"/>
      <c r="M141" s="5"/>
    </row>
    <row r="142" spans="2:13" x14ac:dyDescent="0.25">
      <c r="B142" s="4"/>
      <c r="M142" s="5"/>
    </row>
    <row r="143" spans="2:13" x14ac:dyDescent="0.25">
      <c r="B143" s="4"/>
      <c r="M143" s="5"/>
    </row>
    <row r="144" spans="2:13" x14ac:dyDescent="0.25">
      <c r="B144" s="4"/>
      <c r="M144" s="5"/>
    </row>
    <row r="145" spans="2:13" x14ac:dyDescent="0.25">
      <c r="B145" s="4"/>
      <c r="M145" s="5"/>
    </row>
    <row r="146" spans="2:13" x14ac:dyDescent="0.25">
      <c r="B146" s="4"/>
      <c r="M146" s="5"/>
    </row>
    <row r="147" spans="2:13" x14ac:dyDescent="0.25">
      <c r="B147" s="4"/>
      <c r="M147" s="5"/>
    </row>
    <row r="148" spans="2:13" x14ac:dyDescent="0.25">
      <c r="B148" s="4"/>
      <c r="M148" s="5"/>
    </row>
    <row r="149" spans="2:13" x14ac:dyDescent="0.25">
      <c r="B149" s="4"/>
      <c r="M149" s="5"/>
    </row>
    <row r="150" spans="2:13" x14ac:dyDescent="0.25">
      <c r="B150" s="4"/>
      <c r="M150" s="5"/>
    </row>
    <row r="151" spans="2:13" x14ac:dyDescent="0.25">
      <c r="B151" s="4"/>
      <c r="M151" s="5"/>
    </row>
    <row r="152" spans="2:13" x14ac:dyDescent="0.25">
      <c r="B152" s="4"/>
      <c r="M152" s="5"/>
    </row>
    <row r="153" spans="2:13" x14ac:dyDescent="0.25">
      <c r="B153" s="4"/>
      <c r="M153" s="5"/>
    </row>
    <row r="154" spans="2:13" x14ac:dyDescent="0.25">
      <c r="B154" s="4"/>
      <c r="M154" s="5"/>
    </row>
    <row r="155" spans="2:13" x14ac:dyDescent="0.25">
      <c r="B155" s="4"/>
      <c r="M155" s="5"/>
    </row>
    <row r="156" spans="2:13" x14ac:dyDescent="0.25">
      <c r="B156" s="4"/>
      <c r="M156" s="5"/>
    </row>
    <row r="157" spans="2:13" x14ac:dyDescent="0.25">
      <c r="B157" s="4"/>
      <c r="M157" s="5"/>
    </row>
    <row r="158" spans="2:13" x14ac:dyDescent="0.25">
      <c r="B158" s="4"/>
      <c r="M158" s="5"/>
    </row>
    <row r="159" spans="2:13" x14ac:dyDescent="0.25">
      <c r="B159" s="4"/>
      <c r="M159" s="5"/>
    </row>
    <row r="160" spans="2:13" x14ac:dyDescent="0.25">
      <c r="B160" s="4"/>
      <c r="M160" s="5"/>
    </row>
    <row r="161" spans="2:13" x14ac:dyDescent="0.25">
      <c r="B161" s="4"/>
      <c r="M161" s="5"/>
    </row>
    <row r="162" spans="2:13" x14ac:dyDescent="0.25">
      <c r="B162" s="4"/>
      <c r="M162" s="5"/>
    </row>
    <row r="163" spans="2:13" x14ac:dyDescent="0.25">
      <c r="B163" s="4"/>
      <c r="M163" s="5"/>
    </row>
    <row r="164" spans="2:13" x14ac:dyDescent="0.25">
      <c r="B164" s="4"/>
      <c r="M164" s="5"/>
    </row>
    <row r="165" spans="2:13" x14ac:dyDescent="0.25">
      <c r="B165" s="4"/>
      <c r="M165" s="5"/>
    </row>
    <row r="166" spans="2:13" x14ac:dyDescent="0.25">
      <c r="B166" s="4"/>
      <c r="M166" s="5"/>
    </row>
    <row r="167" spans="2:13" x14ac:dyDescent="0.25">
      <c r="B167" s="4"/>
      <c r="M167" s="5"/>
    </row>
    <row r="168" spans="2:13" x14ac:dyDescent="0.25">
      <c r="B168" s="4"/>
      <c r="M168" s="5"/>
    </row>
    <row r="169" spans="2:13" x14ac:dyDescent="0.25">
      <c r="B169" s="4"/>
      <c r="M169" s="5"/>
    </row>
    <row r="170" spans="2:13" x14ac:dyDescent="0.25">
      <c r="B170" s="4"/>
      <c r="M170" s="5"/>
    </row>
    <row r="171" spans="2:13" x14ac:dyDescent="0.25">
      <c r="B171" s="4"/>
      <c r="M171" s="5"/>
    </row>
    <row r="172" spans="2:13" x14ac:dyDescent="0.25">
      <c r="B172" s="4"/>
      <c r="M172" s="5"/>
    </row>
    <row r="173" spans="2:13" x14ac:dyDescent="0.25">
      <c r="B173" s="4"/>
      <c r="M173" s="5"/>
    </row>
    <row r="174" spans="2:13" x14ac:dyDescent="0.25">
      <c r="B174" s="4"/>
      <c r="M174" s="5"/>
    </row>
    <row r="175" spans="2:13" x14ac:dyDescent="0.25">
      <c r="B175" s="4"/>
      <c r="M175" s="5"/>
    </row>
    <row r="176" spans="2:13" x14ac:dyDescent="0.25">
      <c r="B176" s="4"/>
      <c r="M176" s="5"/>
    </row>
    <row r="177" spans="2:13" x14ac:dyDescent="0.25">
      <c r="B177" s="4"/>
      <c r="M177" s="5"/>
    </row>
    <row r="178" spans="2:13" x14ac:dyDescent="0.25">
      <c r="B178" s="4"/>
      <c r="M178" s="5"/>
    </row>
    <row r="179" spans="2:13" x14ac:dyDescent="0.25">
      <c r="B179" s="4"/>
      <c r="M179" s="5"/>
    </row>
    <row r="180" spans="2:13" x14ac:dyDescent="0.25">
      <c r="B180" s="4"/>
      <c r="M180" s="5"/>
    </row>
    <row r="181" spans="2:13" x14ac:dyDescent="0.25">
      <c r="B181" s="4"/>
      <c r="M181" s="5"/>
    </row>
    <row r="182" spans="2:13" x14ac:dyDescent="0.25">
      <c r="B182" s="4"/>
      <c r="M182" s="5"/>
    </row>
    <row r="183" spans="2:13" x14ac:dyDescent="0.25">
      <c r="B183" s="4"/>
      <c r="M183" s="5"/>
    </row>
    <row r="184" spans="2:13" x14ac:dyDescent="0.25">
      <c r="B184" s="4"/>
      <c r="M184" s="5"/>
    </row>
    <row r="185" spans="2:13" x14ac:dyDescent="0.25">
      <c r="B185" s="4"/>
      <c r="M185" s="5"/>
    </row>
    <row r="186" spans="2:13" x14ac:dyDescent="0.25">
      <c r="B186" s="4"/>
      <c r="M186" s="5"/>
    </row>
    <row r="187" spans="2:13" x14ac:dyDescent="0.25">
      <c r="B187" s="4"/>
      <c r="M187" s="5"/>
    </row>
    <row r="188" spans="2:13" x14ac:dyDescent="0.25">
      <c r="B188" s="4"/>
      <c r="M188" s="5"/>
    </row>
    <row r="189" spans="2:13" x14ac:dyDescent="0.25">
      <c r="B189" s="4"/>
      <c r="M189" s="5"/>
    </row>
    <row r="190" spans="2:13" x14ac:dyDescent="0.25">
      <c r="B190" s="4"/>
      <c r="M190" s="5"/>
    </row>
    <row r="191" spans="2:13" x14ac:dyDescent="0.25">
      <c r="B191" s="4"/>
      <c r="M191" s="5"/>
    </row>
    <row r="192" spans="2:13" x14ac:dyDescent="0.25">
      <c r="B192" s="4"/>
      <c r="M192" s="5"/>
    </row>
    <row r="193" spans="2:13" x14ac:dyDescent="0.25">
      <c r="B193" s="4"/>
      <c r="M193" s="5"/>
    </row>
    <row r="194" spans="2:13" x14ac:dyDescent="0.25">
      <c r="B194" s="4"/>
      <c r="M194" s="5"/>
    </row>
    <row r="195" spans="2:13" x14ac:dyDescent="0.25">
      <c r="B195" s="4"/>
      <c r="M195" s="5"/>
    </row>
    <row r="196" spans="2:13" x14ac:dyDescent="0.25">
      <c r="B196" s="4"/>
      <c r="M196" s="5"/>
    </row>
    <row r="197" spans="2:13" x14ac:dyDescent="0.25">
      <c r="B197" s="4"/>
      <c r="M197" s="5"/>
    </row>
    <row r="198" spans="2:13" x14ac:dyDescent="0.25">
      <c r="B198" s="4"/>
      <c r="M198" s="5"/>
    </row>
    <row r="199" spans="2:13" x14ac:dyDescent="0.25">
      <c r="B199" s="4"/>
      <c r="M199" s="5"/>
    </row>
    <row r="200" spans="2:13" x14ac:dyDescent="0.25">
      <c r="B200" s="4"/>
      <c r="M200" s="5"/>
    </row>
    <row r="201" spans="2:13" x14ac:dyDescent="0.25">
      <c r="B201" s="4"/>
      <c r="M201" s="5"/>
    </row>
    <row r="202" spans="2:13" x14ac:dyDescent="0.25">
      <c r="B202" s="4"/>
      <c r="M202" s="5"/>
    </row>
    <row r="203" spans="2:13" x14ac:dyDescent="0.25">
      <c r="B203" s="4"/>
      <c r="M203" s="5"/>
    </row>
    <row r="204" spans="2:13" x14ac:dyDescent="0.25">
      <c r="B204" s="4"/>
      <c r="M204" s="5"/>
    </row>
    <row r="205" spans="2:13" x14ac:dyDescent="0.25">
      <c r="B205" s="4"/>
      <c r="M205" s="5"/>
    </row>
    <row r="206" spans="2:13" x14ac:dyDescent="0.25">
      <c r="B206" s="4"/>
      <c r="M206" s="5"/>
    </row>
    <row r="207" spans="2:13" x14ac:dyDescent="0.25">
      <c r="B207" s="4"/>
      <c r="M207" s="5"/>
    </row>
    <row r="208" spans="2:13" x14ac:dyDescent="0.25">
      <c r="B208" s="4"/>
      <c r="M208" s="5"/>
    </row>
    <row r="209" spans="2:13" x14ac:dyDescent="0.25">
      <c r="B209" s="4"/>
      <c r="M209" s="5"/>
    </row>
    <row r="210" spans="2:13" x14ac:dyDescent="0.25">
      <c r="B210" s="4"/>
      <c r="M210" s="5"/>
    </row>
    <row r="211" spans="2:13" x14ac:dyDescent="0.25">
      <c r="B211" s="4"/>
      <c r="M211" s="5"/>
    </row>
    <row r="212" spans="2:13" x14ac:dyDescent="0.25">
      <c r="B212" s="4"/>
      <c r="M212" s="5"/>
    </row>
    <row r="213" spans="2:13" x14ac:dyDescent="0.25">
      <c r="B213" s="4"/>
      <c r="M213" s="5"/>
    </row>
    <row r="214" spans="2:13" x14ac:dyDescent="0.25">
      <c r="B214" s="4"/>
      <c r="M214" s="5"/>
    </row>
    <row r="215" spans="2:13" x14ac:dyDescent="0.25">
      <c r="B215" s="4"/>
      <c r="M215" s="5"/>
    </row>
    <row r="216" spans="2:13" x14ac:dyDescent="0.25">
      <c r="B216" s="4"/>
      <c r="M216" s="5"/>
    </row>
    <row r="217" spans="2:13" x14ac:dyDescent="0.25">
      <c r="B217" s="4"/>
      <c r="M217" s="5"/>
    </row>
    <row r="218" spans="2:13" x14ac:dyDescent="0.25">
      <c r="B218" s="4"/>
      <c r="M218" s="5"/>
    </row>
    <row r="219" spans="2:13" x14ac:dyDescent="0.25">
      <c r="B219" s="4"/>
      <c r="M219" s="5"/>
    </row>
    <row r="220" spans="2:13" x14ac:dyDescent="0.25">
      <c r="B220" s="4"/>
      <c r="M220" s="5"/>
    </row>
    <row r="221" spans="2:13" x14ac:dyDescent="0.25">
      <c r="B221" s="4"/>
      <c r="M221" s="5"/>
    </row>
    <row r="222" spans="2:13" x14ac:dyDescent="0.25">
      <c r="B222" s="4"/>
      <c r="M222" s="5"/>
    </row>
    <row r="223" spans="2:13" x14ac:dyDescent="0.25">
      <c r="B223" s="4"/>
      <c r="M223" s="5"/>
    </row>
    <row r="224" spans="2:13" x14ac:dyDescent="0.25">
      <c r="B224" s="4"/>
      <c r="M224" s="5"/>
    </row>
    <row r="225" spans="2:13" x14ac:dyDescent="0.25">
      <c r="B225" s="4"/>
      <c r="M225" s="5"/>
    </row>
    <row r="226" spans="2:13" x14ac:dyDescent="0.25">
      <c r="B226" s="4"/>
      <c r="M226" s="5"/>
    </row>
    <row r="227" spans="2:13" x14ac:dyDescent="0.25">
      <c r="B227" s="4"/>
      <c r="M227" s="5"/>
    </row>
    <row r="228" spans="2:13" x14ac:dyDescent="0.25">
      <c r="B228" s="4"/>
      <c r="M228" s="5"/>
    </row>
    <row r="229" spans="2:13" x14ac:dyDescent="0.25">
      <c r="B229" s="4"/>
      <c r="M229" s="5"/>
    </row>
    <row r="230" spans="2:13" x14ac:dyDescent="0.25">
      <c r="B230" s="4"/>
      <c r="M230" s="5"/>
    </row>
    <row r="231" spans="2:13" x14ac:dyDescent="0.25">
      <c r="B231" s="4"/>
      <c r="M231" s="5"/>
    </row>
    <row r="232" spans="2:13" x14ac:dyDescent="0.25">
      <c r="B232" s="4"/>
      <c r="M232" s="5"/>
    </row>
    <row r="233" spans="2:13" x14ac:dyDescent="0.25">
      <c r="B233" s="4"/>
      <c r="M233" s="5"/>
    </row>
    <row r="234" spans="2:13" x14ac:dyDescent="0.25">
      <c r="B234" s="4"/>
      <c r="M234" s="5"/>
    </row>
    <row r="235" spans="2:13" x14ac:dyDescent="0.25">
      <c r="B235" s="4"/>
      <c r="M235" s="5"/>
    </row>
    <row r="236" spans="2:13" x14ac:dyDescent="0.25">
      <c r="B236" s="4"/>
      <c r="M236" s="5"/>
    </row>
    <row r="237" spans="2:13" x14ac:dyDescent="0.25">
      <c r="B237" s="4"/>
      <c r="M237" s="5"/>
    </row>
    <row r="238" spans="2:13" x14ac:dyDescent="0.25">
      <c r="B238" s="4"/>
      <c r="M238" s="5"/>
    </row>
    <row r="239" spans="2:13" x14ac:dyDescent="0.25">
      <c r="B239" s="4"/>
      <c r="M239" s="5"/>
    </row>
    <row r="240" spans="2:13" x14ac:dyDescent="0.25">
      <c r="B240" s="4"/>
      <c r="M240" s="5"/>
    </row>
    <row r="241" spans="2:13" x14ac:dyDescent="0.25">
      <c r="B241" s="4"/>
      <c r="M241" s="5"/>
    </row>
    <row r="242" spans="2:13" x14ac:dyDescent="0.25">
      <c r="B242" s="4"/>
      <c r="M242" s="5"/>
    </row>
    <row r="243" spans="2:13" x14ac:dyDescent="0.25">
      <c r="B243" s="4"/>
      <c r="M243" s="5"/>
    </row>
    <row r="244" spans="2:13" x14ac:dyDescent="0.25">
      <c r="B244" s="4"/>
      <c r="M244" s="5"/>
    </row>
    <row r="245" spans="2:13" x14ac:dyDescent="0.25">
      <c r="B245" s="4"/>
      <c r="M245" s="5"/>
    </row>
    <row r="246" spans="2:13" x14ac:dyDescent="0.25">
      <c r="B246" s="4"/>
      <c r="M246" s="5"/>
    </row>
    <row r="247" spans="2:13" x14ac:dyDescent="0.25">
      <c r="B247" s="4"/>
      <c r="M247" s="5"/>
    </row>
    <row r="248" spans="2:13" x14ac:dyDescent="0.25">
      <c r="B248" s="4"/>
      <c r="M248" s="5"/>
    </row>
    <row r="249" spans="2:13" x14ac:dyDescent="0.25">
      <c r="B249" s="4"/>
      <c r="M249" s="5"/>
    </row>
    <row r="250" spans="2:13" x14ac:dyDescent="0.25">
      <c r="B250" s="4"/>
      <c r="M250" s="5"/>
    </row>
    <row r="251" spans="2:13" x14ac:dyDescent="0.25">
      <c r="B251" s="4"/>
      <c r="M251" s="5"/>
    </row>
    <row r="252" spans="2:13" x14ac:dyDescent="0.25">
      <c r="B252" s="4"/>
      <c r="M252" s="5"/>
    </row>
    <row r="253" spans="2:13" x14ac:dyDescent="0.25">
      <c r="B253" s="4"/>
      <c r="M253" s="5"/>
    </row>
    <row r="254" spans="2:13" x14ac:dyDescent="0.25">
      <c r="B254" s="4"/>
      <c r="M254" s="5"/>
    </row>
    <row r="255" spans="2:13" x14ac:dyDescent="0.25">
      <c r="B255" s="4"/>
      <c r="M255" s="5"/>
    </row>
    <row r="256" spans="2:13" x14ac:dyDescent="0.25">
      <c r="B256" s="4"/>
      <c r="M256" s="5"/>
    </row>
    <row r="257" spans="2:13" x14ac:dyDescent="0.25">
      <c r="B257" s="4"/>
      <c r="M257" s="5"/>
    </row>
    <row r="258" spans="2:13" x14ac:dyDescent="0.25">
      <c r="B258" s="4"/>
      <c r="M258" s="5"/>
    </row>
    <row r="259" spans="2:13" x14ac:dyDescent="0.25">
      <c r="B259" s="4"/>
      <c r="M259" s="5"/>
    </row>
    <row r="260" spans="2:13" x14ac:dyDescent="0.25">
      <c r="B260" s="4"/>
      <c r="M260" s="5"/>
    </row>
    <row r="261" spans="2:13" x14ac:dyDescent="0.25">
      <c r="B261" s="4"/>
      <c r="M261" s="5"/>
    </row>
    <row r="262" spans="2:13" x14ac:dyDescent="0.25">
      <c r="B262" s="4"/>
      <c r="M262" s="5"/>
    </row>
    <row r="263" spans="2:13" x14ac:dyDescent="0.25">
      <c r="B263" s="4"/>
      <c r="M263" s="5"/>
    </row>
    <row r="264" spans="2:13" x14ac:dyDescent="0.25">
      <c r="B264" s="4"/>
      <c r="M264" s="5"/>
    </row>
    <row r="265" spans="2:13" x14ac:dyDescent="0.25">
      <c r="B265" s="4"/>
      <c r="M265" s="5"/>
    </row>
    <row r="266" spans="2:13" x14ac:dyDescent="0.25">
      <c r="B266" s="4"/>
      <c r="M266" s="5"/>
    </row>
    <row r="267" spans="2:13" x14ac:dyDescent="0.25">
      <c r="B267" s="4"/>
      <c r="M267" s="5"/>
    </row>
    <row r="268" spans="2:13" x14ac:dyDescent="0.25">
      <c r="B268" s="4"/>
      <c r="M268" s="5"/>
    </row>
    <row r="269" spans="2:13" x14ac:dyDescent="0.25">
      <c r="B269" s="4"/>
      <c r="M269" s="5"/>
    </row>
    <row r="270" spans="2:13" x14ac:dyDescent="0.25">
      <c r="B270" s="4"/>
      <c r="M270" s="5"/>
    </row>
    <row r="271" spans="2:13" x14ac:dyDescent="0.25">
      <c r="B271" s="4"/>
      <c r="M271" s="5"/>
    </row>
    <row r="272" spans="2:13" x14ac:dyDescent="0.25">
      <c r="B272" s="4"/>
      <c r="M272" s="5"/>
    </row>
    <row r="273" spans="2:13" x14ac:dyDescent="0.25">
      <c r="B273" s="4"/>
      <c r="M273" s="5"/>
    </row>
    <row r="274" spans="2:13" x14ac:dyDescent="0.25">
      <c r="B274" s="4"/>
      <c r="M274" s="5"/>
    </row>
    <row r="275" spans="2:13" x14ac:dyDescent="0.25">
      <c r="B275" s="4"/>
      <c r="M275" s="5"/>
    </row>
    <row r="276" spans="2:13" x14ac:dyDescent="0.25">
      <c r="B276" s="4"/>
      <c r="M276" s="5"/>
    </row>
    <row r="277" spans="2:13" x14ac:dyDescent="0.25">
      <c r="B277" s="4"/>
      <c r="M277" s="5"/>
    </row>
    <row r="278" spans="2:13" x14ac:dyDescent="0.25">
      <c r="B278" s="4"/>
      <c r="M278" s="5"/>
    </row>
    <row r="279" spans="2:13" x14ac:dyDescent="0.25">
      <c r="B279" s="4"/>
      <c r="M279" s="5"/>
    </row>
    <row r="280" spans="2:13" x14ac:dyDescent="0.25">
      <c r="B280" s="4"/>
      <c r="M280" s="5"/>
    </row>
    <row r="281" spans="2:13" x14ac:dyDescent="0.25">
      <c r="B281" s="4"/>
      <c r="M281" s="5"/>
    </row>
    <row r="282" spans="2:13" x14ac:dyDescent="0.25">
      <c r="B282" s="4"/>
      <c r="M282" s="5"/>
    </row>
    <row r="283" spans="2:13" x14ac:dyDescent="0.25">
      <c r="B283" s="4"/>
      <c r="M283" s="5"/>
    </row>
    <row r="284" spans="2:13" x14ac:dyDescent="0.25">
      <c r="B284" s="4"/>
      <c r="M284" s="5"/>
    </row>
    <row r="285" spans="2:13" x14ac:dyDescent="0.25">
      <c r="B285" s="4"/>
      <c r="M285" s="5"/>
    </row>
    <row r="286" spans="2:13" x14ac:dyDescent="0.25">
      <c r="B286" s="4"/>
      <c r="M286" s="5"/>
    </row>
    <row r="287" spans="2:13" x14ac:dyDescent="0.25">
      <c r="B287" s="4"/>
      <c r="M287" s="5"/>
    </row>
    <row r="288" spans="2:13" x14ac:dyDescent="0.25">
      <c r="B288" s="4"/>
      <c r="M288" s="5"/>
    </row>
    <row r="289" spans="2:13" x14ac:dyDescent="0.25">
      <c r="B289" s="4"/>
      <c r="M289" s="5"/>
    </row>
    <row r="290" spans="2:13" x14ac:dyDescent="0.25">
      <c r="B290" s="4"/>
      <c r="M290" s="5"/>
    </row>
    <row r="291" spans="2:13" x14ac:dyDescent="0.25">
      <c r="B291" s="4"/>
      <c r="M291" s="5"/>
    </row>
    <row r="292" spans="2:13" x14ac:dyDescent="0.25">
      <c r="B292" s="4"/>
      <c r="M292" s="5"/>
    </row>
    <row r="293" spans="2:13" x14ac:dyDescent="0.25">
      <c r="B293" s="4"/>
      <c r="M293" s="5"/>
    </row>
    <row r="294" spans="2:13" x14ac:dyDescent="0.25">
      <c r="B294" s="4"/>
      <c r="M294" s="5"/>
    </row>
    <row r="295" spans="2:13" x14ac:dyDescent="0.25">
      <c r="B295" s="4"/>
      <c r="M295" s="5"/>
    </row>
    <row r="296" spans="2:13" x14ac:dyDescent="0.25">
      <c r="B296" s="4"/>
      <c r="M296" s="5"/>
    </row>
    <row r="297" spans="2:13" x14ac:dyDescent="0.25">
      <c r="B297" s="4"/>
      <c r="M297" s="5"/>
    </row>
    <row r="298" spans="2:13" x14ac:dyDescent="0.25">
      <c r="B298" s="4"/>
      <c r="M298" s="5"/>
    </row>
    <row r="299" spans="2:13" x14ac:dyDescent="0.25">
      <c r="B299" s="4"/>
      <c r="M299" s="5"/>
    </row>
    <row r="300" spans="2:13" x14ac:dyDescent="0.25">
      <c r="B300" s="4"/>
      <c r="M300" s="5"/>
    </row>
    <row r="301" spans="2:13" x14ac:dyDescent="0.25">
      <c r="B301" s="4"/>
      <c r="M301" s="5"/>
    </row>
    <row r="302" spans="2:13" x14ac:dyDescent="0.25">
      <c r="B302" s="4"/>
      <c r="M302" s="5"/>
    </row>
    <row r="303" spans="2:13" x14ac:dyDescent="0.25">
      <c r="B303" s="4"/>
      <c r="M303" s="5"/>
    </row>
    <row r="304" spans="2:13" x14ac:dyDescent="0.25">
      <c r="B304" s="4"/>
      <c r="M304" s="5"/>
    </row>
    <row r="305" spans="2:13" x14ac:dyDescent="0.25">
      <c r="B305" s="4"/>
      <c r="M305" s="5"/>
    </row>
    <row r="306" spans="2:13" x14ac:dyDescent="0.25">
      <c r="B306" s="4"/>
      <c r="M306" s="5"/>
    </row>
    <row r="307" spans="2:13" x14ac:dyDescent="0.25">
      <c r="B307" s="4"/>
      <c r="M307" s="5"/>
    </row>
    <row r="308" spans="2:13" x14ac:dyDescent="0.25">
      <c r="B308" s="4"/>
      <c r="M308" s="5"/>
    </row>
    <row r="309" spans="2:13" ht="14.25" thickBot="1" x14ac:dyDescent="0.3">
      <c r="B309" s="6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8"/>
    </row>
  </sheetData>
  <mergeCells count="4">
    <mergeCell ref="B24:G24"/>
    <mergeCell ref="B27:G27"/>
    <mergeCell ref="B25:F25"/>
    <mergeCell ref="B28:G28"/>
  </mergeCells>
  <pageMargins left="0.7" right="0.7" top="0.75" bottom="0.75" header="0.3" footer="0.3"/>
  <pageSetup scale="6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EE2F2-0D9B-481D-AF91-16CB50F36846}">
  <dimension ref="A1:R120"/>
  <sheetViews>
    <sheetView showGridLines="0" tabSelected="1" topLeftCell="A2" zoomScale="85" zoomScaleNormal="85" workbookViewId="0">
      <selection activeCell="H54" sqref="H54"/>
    </sheetView>
  </sheetViews>
  <sheetFormatPr defaultColWidth="9.140625" defaultRowHeight="15" x14ac:dyDescent="0.25"/>
  <cols>
    <col min="1" max="1" width="1.5703125" style="21" customWidth="1"/>
    <col min="2" max="2" width="30.42578125" style="21" customWidth="1"/>
    <col min="3" max="3" width="13.5703125" style="21" bestFit="1" customWidth="1"/>
    <col min="4" max="4" width="23.7109375" style="21" customWidth="1"/>
    <col min="5" max="5" width="5.5703125" style="21" customWidth="1"/>
    <col min="6" max="6" width="25.140625" style="21" bestFit="1" customWidth="1"/>
    <col min="7" max="7" width="17.7109375" style="21" customWidth="1"/>
    <col min="8" max="8" width="16.5703125" style="21" customWidth="1"/>
    <col min="9" max="9" width="3.140625" style="21" customWidth="1"/>
    <col min="10" max="10" width="36.28515625" style="21" customWidth="1"/>
    <col min="11" max="11" width="16.28515625" style="21" bestFit="1" customWidth="1"/>
    <col min="12" max="12" width="16.28515625" style="21" customWidth="1"/>
    <col min="13" max="13" width="24.28515625" style="21" bestFit="1" customWidth="1"/>
    <col min="14" max="14" width="12.28515625" style="21" bestFit="1" customWidth="1"/>
    <col min="15" max="15" width="19.42578125" style="21" customWidth="1"/>
    <col min="16" max="16384" width="9.140625" style="21"/>
  </cols>
  <sheetData>
    <row r="1" spans="2:13" x14ac:dyDescent="0.25">
      <c r="F1" s="22"/>
    </row>
    <row r="2" spans="2:13" x14ac:dyDescent="0.25">
      <c r="F2" s="22"/>
    </row>
    <row r="3" spans="2:13" x14ac:dyDescent="0.25">
      <c r="F3" s="22"/>
    </row>
    <row r="4" spans="2:13" ht="15.75" thickBot="1" x14ac:dyDescent="0.3">
      <c r="F4" s="22"/>
    </row>
    <row r="5" spans="2:13" ht="15" customHeight="1" thickBot="1" x14ac:dyDescent="0.3">
      <c r="B5" s="23" t="s">
        <v>50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5"/>
    </row>
    <row r="6" spans="2:13" customFormat="1" ht="14.25" thickBot="1" x14ac:dyDescent="0.3"/>
    <row r="7" spans="2:13" x14ac:dyDescent="0.25">
      <c r="B7" s="391" t="s">
        <v>10</v>
      </c>
      <c r="C7" s="392"/>
      <c r="D7" s="393"/>
      <c r="F7" s="160" t="s">
        <v>32</v>
      </c>
      <c r="G7" s="257"/>
      <c r="H7" s="162"/>
      <c r="J7" s="171" t="s">
        <v>62</v>
      </c>
      <c r="K7" s="172" t="s">
        <v>58</v>
      </c>
      <c r="L7" s="173" t="s">
        <v>59</v>
      </c>
      <c r="M7" s="174" t="s">
        <v>63</v>
      </c>
    </row>
    <row r="8" spans="2:13" x14ac:dyDescent="0.25">
      <c r="B8" s="175" t="s">
        <v>13</v>
      </c>
      <c r="C8" s="214"/>
      <c r="D8" s="215" t="s">
        <v>192</v>
      </c>
      <c r="F8" s="175" t="s">
        <v>41</v>
      </c>
      <c r="H8" s="185">
        <v>0</v>
      </c>
      <c r="J8" s="232" t="s">
        <v>64</v>
      </c>
      <c r="K8" s="316">
        <f t="shared" ref="K8:K14" si="0">$M8*($K$38*(1-$D$24))</f>
        <v>4355.75</v>
      </c>
      <c r="L8" s="316">
        <f>$K8*12</f>
        <v>52269</v>
      </c>
      <c r="M8" s="233">
        <v>0.13100000000000001</v>
      </c>
    </row>
    <row r="9" spans="2:13" ht="30" x14ac:dyDescent="0.25">
      <c r="B9" s="175" t="s">
        <v>17</v>
      </c>
      <c r="C9" s="216"/>
      <c r="D9" s="217" t="s">
        <v>199</v>
      </c>
      <c r="F9" s="175" t="s">
        <v>43</v>
      </c>
      <c r="H9" s="185">
        <v>6000</v>
      </c>
      <c r="J9" s="234" t="s">
        <v>65</v>
      </c>
      <c r="K9" s="316">
        <f t="shared" si="0"/>
        <v>2660</v>
      </c>
      <c r="L9" s="316">
        <f t="shared" ref="L9:L15" si="1">$K9*12</f>
        <v>31920</v>
      </c>
      <c r="M9" s="235">
        <v>0.08</v>
      </c>
    </row>
    <row r="10" spans="2:13" x14ac:dyDescent="0.25">
      <c r="B10" s="175" t="s">
        <v>19</v>
      </c>
      <c r="C10" s="216"/>
      <c r="D10" s="208" t="s">
        <v>224</v>
      </c>
      <c r="F10" s="175" t="s">
        <v>45</v>
      </c>
      <c r="H10" s="185">
        <v>0</v>
      </c>
      <c r="J10" s="236" t="s">
        <v>66</v>
      </c>
      <c r="K10" s="316">
        <f t="shared" si="0"/>
        <v>0</v>
      </c>
      <c r="L10" s="316">
        <f t="shared" si="1"/>
        <v>0</v>
      </c>
      <c r="M10" s="235">
        <v>0</v>
      </c>
    </row>
    <row r="11" spans="2:13" x14ac:dyDescent="0.25">
      <c r="B11" s="175" t="s">
        <v>22</v>
      </c>
      <c r="C11" s="216"/>
      <c r="D11" s="208" t="s">
        <v>200</v>
      </c>
      <c r="F11" s="175" t="s">
        <v>129</v>
      </c>
      <c r="H11" s="185">
        <v>0</v>
      </c>
      <c r="J11" s="234" t="s">
        <v>67</v>
      </c>
      <c r="K11" s="316">
        <f t="shared" si="0"/>
        <v>2660</v>
      </c>
      <c r="L11" s="316">
        <f t="shared" si="1"/>
        <v>31920</v>
      </c>
      <c r="M11" s="237">
        <v>0.08</v>
      </c>
    </row>
    <row r="12" spans="2:13" x14ac:dyDescent="0.25">
      <c r="B12" s="175" t="s">
        <v>23</v>
      </c>
      <c r="C12" s="216"/>
      <c r="D12" s="208" t="s">
        <v>24</v>
      </c>
      <c r="F12" s="175" t="s">
        <v>46</v>
      </c>
      <c r="H12" s="185">
        <v>0</v>
      </c>
      <c r="J12" s="234" t="s">
        <v>68</v>
      </c>
      <c r="K12" s="316">
        <f t="shared" si="0"/>
        <v>997.5</v>
      </c>
      <c r="L12" s="316">
        <f t="shared" si="1"/>
        <v>11970</v>
      </c>
      <c r="M12" s="237">
        <v>0.03</v>
      </c>
    </row>
    <row r="13" spans="2:13" x14ac:dyDescent="0.25">
      <c r="B13" s="175" t="s">
        <v>51</v>
      </c>
      <c r="C13" s="216"/>
      <c r="D13" s="218">
        <v>38117</v>
      </c>
      <c r="F13" s="175" t="s">
        <v>185</v>
      </c>
      <c r="H13" s="185">
        <v>0</v>
      </c>
      <c r="J13" s="238" t="s">
        <v>69</v>
      </c>
      <c r="K13" s="316">
        <f t="shared" si="0"/>
        <v>997.5</v>
      </c>
      <c r="L13" s="316">
        <f t="shared" si="1"/>
        <v>11970</v>
      </c>
      <c r="M13" s="239">
        <v>0.03</v>
      </c>
    </row>
    <row r="14" spans="2:13" x14ac:dyDescent="0.25">
      <c r="B14" s="175" t="s">
        <v>27</v>
      </c>
      <c r="C14" s="219"/>
      <c r="D14" s="258" t="s">
        <v>250</v>
      </c>
      <c r="F14" s="175"/>
      <c r="H14" s="223"/>
      <c r="J14" s="238" t="s">
        <v>70</v>
      </c>
      <c r="K14" s="316">
        <f t="shared" si="0"/>
        <v>0</v>
      </c>
      <c r="L14" s="316">
        <f t="shared" si="1"/>
        <v>0</v>
      </c>
      <c r="M14" s="239">
        <v>0</v>
      </c>
    </row>
    <row r="15" spans="2:13" ht="15.75" thickBot="1" x14ac:dyDescent="0.3">
      <c r="B15" s="175" t="s">
        <v>29</v>
      </c>
      <c r="C15" s="216"/>
      <c r="D15" s="208" t="s">
        <v>120</v>
      </c>
      <c r="F15" s="224" t="s">
        <v>47</v>
      </c>
      <c r="G15" s="225"/>
      <c r="H15" s="226">
        <f>SUM(H8:H14)</f>
        <v>6000</v>
      </c>
      <c r="J15" s="240" t="s">
        <v>71</v>
      </c>
      <c r="K15" s="317">
        <f>SUM(K8:K14)</f>
        <v>11670.75</v>
      </c>
      <c r="L15" s="317">
        <f t="shared" si="1"/>
        <v>140049</v>
      </c>
      <c r="M15" s="241">
        <f>SUM(M8:M12)</f>
        <v>0.32100000000000006</v>
      </c>
    </row>
    <row r="16" spans="2:13" ht="15.75" thickBot="1" x14ac:dyDescent="0.3">
      <c r="B16" s="175" t="s">
        <v>202</v>
      </c>
      <c r="C16" s="216"/>
      <c r="D16" s="215">
        <v>1050</v>
      </c>
      <c r="I16" s="22"/>
    </row>
    <row r="17" spans="2:16" x14ac:dyDescent="0.25">
      <c r="B17" s="175" t="s">
        <v>146</v>
      </c>
      <c r="C17" s="220"/>
      <c r="D17" s="272">
        <v>0.1</v>
      </c>
      <c r="F17" s="163" t="s">
        <v>126</v>
      </c>
      <c r="G17" s="164"/>
      <c r="H17" s="165"/>
      <c r="I17" s="22"/>
      <c r="J17" s="160" t="s">
        <v>11</v>
      </c>
      <c r="K17" s="169"/>
      <c r="L17" s="169"/>
      <c r="M17" s="170"/>
    </row>
    <row r="18" spans="2:16" x14ac:dyDescent="0.25">
      <c r="B18" s="175" t="s">
        <v>122</v>
      </c>
      <c r="C18" s="220"/>
      <c r="D18" s="273">
        <f>D50</f>
        <v>270000</v>
      </c>
      <c r="F18" s="175" t="s">
        <v>127</v>
      </c>
      <c r="H18" s="227">
        <v>10000</v>
      </c>
      <c r="I18" s="22"/>
      <c r="J18" s="242" t="s">
        <v>14</v>
      </c>
      <c r="K18" s="243"/>
      <c r="L18" s="244"/>
      <c r="M18" s="245" t="s">
        <v>15</v>
      </c>
    </row>
    <row r="19" spans="2:16" x14ac:dyDescent="0.25">
      <c r="B19" s="175"/>
      <c r="C19" s="220"/>
      <c r="D19" s="273"/>
      <c r="F19" s="175" t="s">
        <v>153</v>
      </c>
      <c r="G19" s="53"/>
      <c r="H19" s="227">
        <v>0</v>
      </c>
      <c r="I19" s="22"/>
      <c r="J19" s="246" t="s">
        <v>20</v>
      </c>
      <c r="K19" s="32">
        <f>1-K20</f>
        <v>0.75</v>
      </c>
      <c r="L19" s="30">
        <f>K19*SUM($D$45,$D$50,$D$46,$D$47,$H$18,$H$15)</f>
        <v>305625</v>
      </c>
      <c r="M19" s="31">
        <f>L19/$D$25</f>
        <v>21830.357142857141</v>
      </c>
    </row>
    <row r="20" spans="2:16" x14ac:dyDescent="0.25">
      <c r="B20" s="175" t="s">
        <v>205</v>
      </c>
      <c r="C20" s="220"/>
      <c r="D20" s="274">
        <v>45748</v>
      </c>
      <c r="F20" s="175"/>
      <c r="H20" s="228"/>
      <c r="I20" s="22"/>
      <c r="J20" s="246" t="s">
        <v>133</v>
      </c>
      <c r="K20" s="247">
        <v>0.25</v>
      </c>
      <c r="L20" s="30">
        <f>K20*SUM($D$45,$D$50,$D$46,$D$47,$H$18,$H$15)</f>
        <v>101875</v>
      </c>
      <c r="M20" s="31">
        <f>L20/$D$25</f>
        <v>7276.7857142857147</v>
      </c>
    </row>
    <row r="21" spans="2:16" ht="15.75" thickBot="1" x14ac:dyDescent="0.3">
      <c r="B21" s="179"/>
      <c r="C21" s="221"/>
      <c r="D21" s="222"/>
      <c r="F21" s="184" t="s">
        <v>128</v>
      </c>
      <c r="H21" s="228">
        <f>H18+H19</f>
        <v>10000</v>
      </c>
      <c r="I21" s="22"/>
      <c r="J21" s="246" t="s">
        <v>130</v>
      </c>
      <c r="K21" s="248"/>
      <c r="L21" s="30">
        <f>$H$28</f>
        <v>2430000</v>
      </c>
      <c r="M21" s="31">
        <f>L21/$D25</f>
        <v>173571.42857142858</v>
      </c>
    </row>
    <row r="22" spans="2:16" ht="15.75" thickBot="1" x14ac:dyDescent="0.3">
      <c r="B22" s="159"/>
      <c r="F22" s="175"/>
      <c r="G22" s="229"/>
      <c r="H22" s="228"/>
      <c r="I22" s="22"/>
      <c r="J22" s="249" t="s">
        <v>131</v>
      </c>
      <c r="K22" s="250"/>
      <c r="L22" s="34">
        <f>$H$19</f>
        <v>0</v>
      </c>
      <c r="M22" s="31">
        <f>L22/D25</f>
        <v>0</v>
      </c>
    </row>
    <row r="23" spans="2:16" ht="15" customHeight="1" x14ac:dyDescent="0.25">
      <c r="B23" s="166" t="s">
        <v>12</v>
      </c>
      <c r="C23" s="167"/>
      <c r="D23" s="168"/>
      <c r="E23" s="27"/>
      <c r="F23" s="175" t="s">
        <v>48</v>
      </c>
      <c r="G23" s="229"/>
      <c r="H23" s="228">
        <f>H21/D16</f>
        <v>9.5238095238095237</v>
      </c>
      <c r="I23" s="22"/>
      <c r="J23" s="249" t="s">
        <v>145</v>
      </c>
      <c r="K23" s="250"/>
      <c r="L23" s="34">
        <f>$D$51</f>
        <v>0</v>
      </c>
      <c r="M23" s="31">
        <f>L23/D25</f>
        <v>0</v>
      </c>
    </row>
    <row r="24" spans="2:16" ht="15.75" thickBot="1" x14ac:dyDescent="0.3">
      <c r="B24" s="175" t="s">
        <v>16</v>
      </c>
      <c r="C24" s="26"/>
      <c r="D24" s="207">
        <v>0.05</v>
      </c>
      <c r="E24" s="28"/>
      <c r="F24" s="179" t="s">
        <v>49</v>
      </c>
      <c r="G24" s="230"/>
      <c r="H24" s="231">
        <f>H21/D14</f>
        <v>714.28571428571433</v>
      </c>
      <c r="I24" s="22"/>
      <c r="J24" s="251" t="s">
        <v>102</v>
      </c>
      <c r="K24" s="250"/>
      <c r="L24" s="252">
        <v>0</v>
      </c>
      <c r="M24" s="35">
        <f>L24/$D$25</f>
        <v>0</v>
      </c>
    </row>
    <row r="25" spans="2:16" ht="15.75" thickBot="1" x14ac:dyDescent="0.3">
      <c r="B25" s="175" t="s">
        <v>18</v>
      </c>
      <c r="D25" s="268" t="str">
        <f>D14</f>
        <v>14</v>
      </c>
      <c r="E25" s="29"/>
      <c r="I25" s="22"/>
      <c r="J25" s="327" t="s">
        <v>26</v>
      </c>
      <c r="K25" s="328"/>
      <c r="L25" s="329">
        <f>SUM(L19:L24)</f>
        <v>2837500</v>
      </c>
      <c r="M25" s="330"/>
    </row>
    <row r="26" spans="2:16" x14ac:dyDescent="0.25">
      <c r="B26" s="175" t="s">
        <v>21</v>
      </c>
      <c r="D26" s="209">
        <f>D16*D14</f>
        <v>14700</v>
      </c>
      <c r="E26" s="29"/>
      <c r="F26" s="166" t="s">
        <v>31</v>
      </c>
      <c r="G26" s="167"/>
      <c r="H26" s="168"/>
      <c r="I26" s="22"/>
      <c r="J26" s="253"/>
      <c r="K26" s="254"/>
      <c r="L26" s="38"/>
      <c r="M26" s="39"/>
      <c r="P26" s="22"/>
    </row>
    <row r="27" spans="2:16" x14ac:dyDescent="0.25">
      <c r="B27" s="175" t="s">
        <v>116</v>
      </c>
      <c r="D27" s="210">
        <f>$D$26/$D$25</f>
        <v>1050</v>
      </c>
      <c r="E27" s="29"/>
      <c r="F27" s="175" t="s">
        <v>139</v>
      </c>
      <c r="H27" s="318" t="s">
        <v>225</v>
      </c>
      <c r="I27" s="22"/>
      <c r="J27" s="255" t="s">
        <v>30</v>
      </c>
      <c r="K27" s="248"/>
      <c r="L27" s="40"/>
      <c r="M27" s="31">
        <f>L27/$D$25</f>
        <v>0</v>
      </c>
      <c r="P27" s="33"/>
    </row>
    <row r="28" spans="2:16" x14ac:dyDescent="0.25">
      <c r="B28" s="175" t="s">
        <v>25</v>
      </c>
      <c r="C28" s="189"/>
      <c r="D28" s="341">
        <v>2500</v>
      </c>
      <c r="E28" s="29"/>
      <c r="F28" s="175" t="s">
        <v>138</v>
      </c>
      <c r="H28" s="319">
        <f>$D$49</f>
        <v>2430000</v>
      </c>
      <c r="I28" s="22"/>
      <c r="J28" s="246" t="s">
        <v>252</v>
      </c>
      <c r="K28" s="248"/>
      <c r="L28" s="30">
        <f>SUM($L$19:$L$21)-$H$15-H18</f>
        <v>2821500</v>
      </c>
      <c r="M28" s="31">
        <f>L28/$D$25</f>
        <v>201535.71428571429</v>
      </c>
      <c r="P28" s="22"/>
    </row>
    <row r="29" spans="2:16" x14ac:dyDescent="0.25">
      <c r="B29" s="175"/>
      <c r="C29" s="189"/>
      <c r="D29" s="211"/>
      <c r="E29" s="29"/>
      <c r="F29" s="175" t="s">
        <v>137</v>
      </c>
      <c r="H29" s="320">
        <v>0.08</v>
      </c>
      <c r="I29" s="22"/>
      <c r="J29" s="246" t="s">
        <v>125</v>
      </c>
      <c r="K29" s="248"/>
      <c r="L29" s="30">
        <f>$H$21</f>
        <v>10000</v>
      </c>
      <c r="M29" s="31">
        <f>L29/$D$25</f>
        <v>714.28571428571433</v>
      </c>
      <c r="P29" s="22"/>
    </row>
    <row r="30" spans="2:16" x14ac:dyDescent="0.25">
      <c r="B30" s="296" t="s">
        <v>206</v>
      </c>
      <c r="C30" s="297"/>
      <c r="D30" s="298">
        <f>$D$28*D25</f>
        <v>35000</v>
      </c>
      <c r="E30" s="37"/>
      <c r="F30" s="280" t="s">
        <v>212</v>
      </c>
      <c r="H30" s="321">
        <f>$H$29/12</f>
        <v>6.6666666666666671E-3</v>
      </c>
      <c r="I30" s="22"/>
      <c r="J30" s="246" t="s">
        <v>32</v>
      </c>
      <c r="K30" s="248"/>
      <c r="L30" s="31">
        <f>$H$15</f>
        <v>6000</v>
      </c>
      <c r="M30" s="31">
        <f>L30/$D$25</f>
        <v>428.57142857142856</v>
      </c>
      <c r="O30" s="22"/>
    </row>
    <row r="31" spans="2:16" x14ac:dyDescent="0.25">
      <c r="B31" s="299" t="s">
        <v>215</v>
      </c>
      <c r="C31" s="300"/>
      <c r="D31" s="301">
        <f>D30*(1-$D$24)</f>
        <v>33250</v>
      </c>
      <c r="E31" s="29"/>
      <c r="F31" s="175" t="s">
        <v>35</v>
      </c>
      <c r="H31" s="177">
        <v>30</v>
      </c>
      <c r="I31" s="22"/>
      <c r="J31" s="251" t="s">
        <v>102</v>
      </c>
      <c r="K31" s="41"/>
      <c r="L31" s="252">
        <v>0</v>
      </c>
      <c r="M31" s="35">
        <f>L31/$D$25</f>
        <v>0</v>
      </c>
    </row>
    <row r="32" spans="2:16" ht="15.75" thickBot="1" x14ac:dyDescent="0.3">
      <c r="B32" s="175"/>
      <c r="C32" s="189"/>
      <c r="D32" s="36"/>
      <c r="E32" s="29"/>
      <c r="F32" s="280" t="s">
        <v>213</v>
      </c>
      <c r="H32" s="176">
        <f>H31*12</f>
        <v>360</v>
      </c>
      <c r="I32" s="22"/>
      <c r="J32" s="327" t="s">
        <v>34</v>
      </c>
      <c r="K32" s="328"/>
      <c r="L32" s="329">
        <f>SUM(L28:L31)</f>
        <v>2837500</v>
      </c>
      <c r="M32" s="330"/>
    </row>
    <row r="33" spans="1:15" ht="15.75" thickBot="1" x14ac:dyDescent="0.3">
      <c r="B33" s="212" t="s">
        <v>28</v>
      </c>
      <c r="C33" s="213"/>
      <c r="D33" s="269">
        <v>3.5000000000000003E-2</v>
      </c>
      <c r="E33" s="29"/>
      <c r="F33" s="175" t="s">
        <v>37</v>
      </c>
      <c r="H33" s="177">
        <v>30</v>
      </c>
      <c r="I33" s="22"/>
    </row>
    <row r="34" spans="1:15" ht="15.75" thickBot="1" x14ac:dyDescent="0.3">
      <c r="B34" s="179" t="s">
        <v>154</v>
      </c>
      <c r="C34" s="180"/>
      <c r="D34" s="270">
        <v>0.03</v>
      </c>
      <c r="E34" s="29"/>
      <c r="F34" s="181"/>
      <c r="G34" s="322"/>
      <c r="H34" s="323"/>
      <c r="I34" s="22"/>
      <c r="J34" s="44" t="s">
        <v>123</v>
      </c>
      <c r="K34" s="45"/>
      <c r="L34" s="46">
        <f>L25-L32</f>
        <v>0</v>
      </c>
      <c r="M34" s="47"/>
      <c r="O34" s="386"/>
    </row>
    <row r="35" spans="1:15" ht="15.75" thickBot="1" x14ac:dyDescent="0.3">
      <c r="F35" s="175" t="s">
        <v>140</v>
      </c>
      <c r="H35" s="318" t="s">
        <v>124</v>
      </c>
      <c r="I35" s="22"/>
    </row>
    <row r="36" spans="1:15" ht="15" customHeight="1" x14ac:dyDescent="0.25">
      <c r="B36" s="160" t="s">
        <v>33</v>
      </c>
      <c r="C36" s="161"/>
      <c r="D36" s="162"/>
      <c r="E36" s="26"/>
      <c r="F36" s="175" t="s">
        <v>141</v>
      </c>
      <c r="H36" s="319">
        <f>L23</f>
        <v>0</v>
      </c>
      <c r="I36" s="22"/>
      <c r="J36" s="259" t="s">
        <v>52</v>
      </c>
      <c r="K36" s="260"/>
      <c r="L36" s="260"/>
      <c r="M36" s="261"/>
      <c r="O36" s="158"/>
    </row>
    <row r="37" spans="1:15" x14ac:dyDescent="0.25">
      <c r="B37" s="182"/>
      <c r="C37" s="26"/>
      <c r="D37" s="183"/>
      <c r="E37" s="42"/>
      <c r="F37" s="175" t="s">
        <v>142</v>
      </c>
      <c r="H37" s="320">
        <v>0.04</v>
      </c>
      <c r="I37" s="22"/>
      <c r="J37" s="262" t="s">
        <v>53</v>
      </c>
      <c r="K37" s="263" t="s">
        <v>60</v>
      </c>
      <c r="L37" s="263" t="s">
        <v>54</v>
      </c>
      <c r="M37" s="264" t="s">
        <v>55</v>
      </c>
    </row>
    <row r="38" spans="1:15" x14ac:dyDescent="0.25">
      <c r="B38" s="184" t="s">
        <v>36</v>
      </c>
      <c r="C38" s="385" t="s">
        <v>115</v>
      </c>
      <c r="D38" s="185">
        <v>2700000</v>
      </c>
      <c r="E38" s="43"/>
      <c r="F38" s="175" t="s">
        <v>143</v>
      </c>
      <c r="H38" s="177">
        <v>15</v>
      </c>
      <c r="I38" s="22"/>
      <c r="J38" s="156" t="s">
        <v>222</v>
      </c>
      <c r="K38" s="271">
        <f>$D$30</f>
        <v>35000</v>
      </c>
      <c r="L38" s="332">
        <v>25000</v>
      </c>
      <c r="M38" s="339" t="str">
        <f>IF(L38&gt;K38,"N","Y")</f>
        <v>Y</v>
      </c>
    </row>
    <row r="39" spans="1:15" ht="15" customHeight="1" x14ac:dyDescent="0.25">
      <c r="B39" s="186" t="s">
        <v>38</v>
      </c>
      <c r="C39" s="187">
        <v>0</v>
      </c>
      <c r="D39" s="188">
        <f>D38*C39</f>
        <v>0</v>
      </c>
      <c r="E39" s="43"/>
      <c r="F39" s="175" t="s">
        <v>144</v>
      </c>
      <c r="H39" s="177">
        <v>15</v>
      </c>
      <c r="I39" s="22"/>
      <c r="J39" s="157" t="s">
        <v>223</v>
      </c>
      <c r="K39" s="336">
        <f>'4. First Yr. Cash Flow Schedule'!$Q$37</f>
        <v>258951</v>
      </c>
      <c r="L39" s="333">
        <v>250000</v>
      </c>
      <c r="M39" s="339" t="str">
        <f t="shared" ref="M39:M43" si="2">IF(L39&gt;K39,"N","Y")</f>
        <v>Y</v>
      </c>
    </row>
    <row r="40" spans="1:15" ht="15" customHeight="1" x14ac:dyDescent="0.25">
      <c r="B40" s="186" t="s">
        <v>40</v>
      </c>
      <c r="C40" s="189">
        <f>1-C39</f>
        <v>1</v>
      </c>
      <c r="D40" s="188">
        <f>D38-D39</f>
        <v>2700000</v>
      </c>
      <c r="E40" s="43"/>
      <c r="F40" s="181"/>
      <c r="G40" s="322"/>
      <c r="H40" s="323"/>
      <c r="J40" s="157" t="s">
        <v>56</v>
      </c>
      <c r="K40" s="334">
        <f>$K$39/$D$38</f>
        <v>9.5907777777777772E-2</v>
      </c>
      <c r="L40" s="337">
        <v>7.0000000000000007E-2</v>
      </c>
      <c r="M40" s="339" t="str">
        <f t="shared" si="2"/>
        <v>Y</v>
      </c>
      <c r="N40" s="48"/>
    </row>
    <row r="41" spans="1:15" x14ac:dyDescent="0.25">
      <c r="B41" s="186"/>
      <c r="C41" s="190"/>
      <c r="D41" s="188"/>
      <c r="E41" s="43"/>
      <c r="F41" s="175" t="s">
        <v>186</v>
      </c>
      <c r="H41" s="178" t="s">
        <v>124</v>
      </c>
      <c r="J41" s="157" t="s">
        <v>220</v>
      </c>
      <c r="K41" s="334">
        <f>'4. First Yr. Cash Flow Schedule'!$Q$49/'2.Dashboard'!$D$60</f>
        <v>0.11039325216386212</v>
      </c>
      <c r="L41" s="337">
        <v>4.4999999999999998E-2</v>
      </c>
      <c r="M41" s="339" t="str">
        <f t="shared" si="2"/>
        <v>Y</v>
      </c>
      <c r="N41" s="49"/>
    </row>
    <row r="42" spans="1:15" x14ac:dyDescent="0.25">
      <c r="B42" s="184"/>
      <c r="C42" s="191"/>
      <c r="D42" s="188"/>
      <c r="E42" s="43"/>
      <c r="F42" s="175" t="s">
        <v>187</v>
      </c>
      <c r="H42" s="319">
        <f>$H$19</f>
        <v>0</v>
      </c>
      <c r="J42" s="157" t="s">
        <v>221</v>
      </c>
      <c r="K42" s="335">
        <f>'3. Analysis'!$C$22</f>
        <v>0.25825197794281363</v>
      </c>
      <c r="L42" s="338">
        <v>0.25</v>
      </c>
      <c r="M42" s="339" t="str">
        <f t="shared" si="2"/>
        <v>Y</v>
      </c>
      <c r="N42" s="50"/>
    </row>
    <row r="43" spans="1:15" ht="15.75" thickBot="1" x14ac:dyDescent="0.3">
      <c r="B43" s="184"/>
      <c r="C43" s="191"/>
      <c r="D43" s="188"/>
      <c r="E43" s="51"/>
      <c r="F43" s="175" t="s">
        <v>188</v>
      </c>
      <c r="H43" s="320">
        <v>0.08</v>
      </c>
      <c r="J43" s="256" t="s">
        <v>226</v>
      </c>
      <c r="K43" s="382">
        <f>'3. Analysis'!$C$39</f>
        <v>962671.68951115757</v>
      </c>
      <c r="L43" s="383">
        <v>500000</v>
      </c>
      <c r="M43" s="151" t="str">
        <f t="shared" si="2"/>
        <v>Y</v>
      </c>
      <c r="N43" s="49"/>
      <c r="O43" s="386"/>
    </row>
    <row r="44" spans="1:15" x14ac:dyDescent="0.25">
      <c r="B44" s="192" t="s">
        <v>152</v>
      </c>
      <c r="C44" s="193"/>
      <c r="D44" s="194"/>
      <c r="F44" s="175" t="s">
        <v>35</v>
      </c>
      <c r="H44" s="177">
        <v>30</v>
      </c>
      <c r="N44" s="49"/>
    </row>
    <row r="45" spans="1:15" ht="15" customHeight="1" x14ac:dyDescent="0.25">
      <c r="A45" s="49"/>
      <c r="B45" s="195" t="s">
        <v>44</v>
      </c>
      <c r="C45" s="190">
        <v>0.05</v>
      </c>
      <c r="D45" s="188">
        <f>$D$49*C45</f>
        <v>121500</v>
      </c>
      <c r="E45" s="52"/>
      <c r="F45" s="175" t="s">
        <v>144</v>
      </c>
      <c r="H45" s="177">
        <v>30</v>
      </c>
      <c r="N45" s="49"/>
    </row>
    <row r="46" spans="1:15" x14ac:dyDescent="0.25">
      <c r="B46" s="195" t="s">
        <v>150</v>
      </c>
      <c r="C46" s="190">
        <v>0</v>
      </c>
      <c r="D46" s="188">
        <f>$D$49*C46</f>
        <v>0</v>
      </c>
      <c r="E46" s="22"/>
      <c r="F46" s="181"/>
      <c r="G46" s="322"/>
      <c r="H46" s="323"/>
      <c r="N46" s="49"/>
    </row>
    <row r="47" spans="1:15" x14ac:dyDescent="0.25">
      <c r="B47" s="195" t="s">
        <v>151</v>
      </c>
      <c r="C47" s="190">
        <v>0</v>
      </c>
      <c r="D47" s="188">
        <f>$D$51*$C$47</f>
        <v>0</v>
      </c>
      <c r="E47" s="22"/>
      <c r="F47" s="175" t="s">
        <v>193</v>
      </c>
      <c r="H47" s="324">
        <f>-PMT($H$30,$H$32,$H$28)-PMT($H$37/12,$H$38*12,$H$36)-PMT($H$43/12,$H$44*12,$H$42)</f>
        <v>17830.479145268844</v>
      </c>
      <c r="I47" s="22"/>
      <c r="N47" s="49"/>
    </row>
    <row r="48" spans="1:15" ht="15" customHeight="1" x14ac:dyDescent="0.25">
      <c r="B48" s="195"/>
      <c r="C48" s="190"/>
      <c r="D48" s="188"/>
      <c r="E48" s="22"/>
      <c r="F48" s="175" t="s">
        <v>194</v>
      </c>
      <c r="H48" s="324">
        <f>$H$47*12</f>
        <v>213965.74974322613</v>
      </c>
      <c r="N48" s="49"/>
    </row>
    <row r="49" spans="1:13" ht="15" customHeight="1" x14ac:dyDescent="0.25">
      <c r="B49" s="195" t="s">
        <v>147</v>
      </c>
      <c r="C49" s="150">
        <f>IF(C51&lt;&gt;0,1-C50-C51,1-C50)</f>
        <v>0.9</v>
      </c>
      <c r="D49" s="188">
        <f>$D$38*$C49</f>
        <v>2430000</v>
      </c>
      <c r="E49" s="22"/>
      <c r="F49" s="175"/>
      <c r="H49" s="177"/>
    </row>
    <row r="50" spans="1:13" x14ac:dyDescent="0.25">
      <c r="B50" s="195" t="s">
        <v>148</v>
      </c>
      <c r="C50" s="150">
        <f>D17-C51</f>
        <v>0.1</v>
      </c>
      <c r="D50" s="188">
        <f>$D$38*$C50</f>
        <v>270000</v>
      </c>
      <c r="E50" s="22"/>
      <c r="F50" s="175" t="s">
        <v>203</v>
      </c>
      <c r="H50" s="340">
        <f>'4. First Yr. Cash Flow Schedule'!$E$37</f>
        <v>21579.25</v>
      </c>
    </row>
    <row r="51" spans="1:13" x14ac:dyDescent="0.25">
      <c r="B51" s="310" t="s">
        <v>149</v>
      </c>
      <c r="C51" s="311">
        <v>0</v>
      </c>
      <c r="D51" s="312">
        <f>$D$38*$C51</f>
        <v>0</v>
      </c>
      <c r="E51" s="22"/>
      <c r="F51" s="175" t="s">
        <v>204</v>
      </c>
      <c r="H51" s="342">
        <f>'4. First Yr. Cash Flow Schedule'!$E$49</f>
        <v>3748.7708547311559</v>
      </c>
    </row>
    <row r="52" spans="1:13" x14ac:dyDescent="0.25">
      <c r="B52" s="195"/>
      <c r="C52" s="196"/>
      <c r="D52" s="188"/>
      <c r="E52" s="48"/>
      <c r="F52" s="181"/>
      <c r="G52" s="322"/>
      <c r="H52" s="323"/>
    </row>
    <row r="53" spans="1:13" ht="15" customHeight="1" x14ac:dyDescent="0.25">
      <c r="A53" s="48"/>
      <c r="B53" s="313" t="s">
        <v>216</v>
      </c>
      <c r="C53" s="196">
        <v>0.04</v>
      </c>
      <c r="D53" s="188"/>
      <c r="E53" s="27"/>
      <c r="F53" s="175" t="s">
        <v>39</v>
      </c>
      <c r="H53" s="325">
        <f>'4. First Yr. Cash Flow Schedule'!$Q$37/'4. First Yr. Cash Flow Schedule'!$Q$47</f>
        <v>1.2102450990906688</v>
      </c>
    </row>
    <row r="54" spans="1:13" s="49" customFormat="1" ht="15.75" thickBot="1" x14ac:dyDescent="0.3">
      <c r="A54" s="48"/>
      <c r="B54" s="313" t="s">
        <v>218</v>
      </c>
      <c r="C54" s="314">
        <v>10</v>
      </c>
      <c r="D54" s="188"/>
      <c r="E54" s="43"/>
      <c r="F54" s="179" t="s">
        <v>42</v>
      </c>
      <c r="G54" s="180"/>
      <c r="H54" s="326">
        <f>(H28+H36+H42)/$L$32</f>
        <v>0.85638766519823784</v>
      </c>
      <c r="I54" s="21"/>
      <c r="J54" s="21"/>
      <c r="K54" s="21"/>
      <c r="L54" s="21"/>
      <c r="M54" s="21"/>
    </row>
    <row r="55" spans="1:13" s="49" customFormat="1" x14ac:dyDescent="0.25">
      <c r="A55" s="48"/>
      <c r="B55" s="313" t="s">
        <v>217</v>
      </c>
      <c r="C55" s="150">
        <f>C53*C54</f>
        <v>0.4</v>
      </c>
      <c r="D55" s="188"/>
      <c r="E55" s="43"/>
      <c r="F55" s="21"/>
      <c r="G55" s="21"/>
      <c r="H55" s="53"/>
      <c r="I55" s="21"/>
      <c r="J55" s="21"/>
      <c r="K55" s="21"/>
      <c r="L55" s="21"/>
      <c r="M55" s="21"/>
    </row>
    <row r="56" spans="1:13" s="49" customFormat="1" x14ac:dyDescent="0.25">
      <c r="A56" s="48"/>
      <c r="B56" s="313" t="s">
        <v>219</v>
      </c>
      <c r="C56" s="315">
        <f>MAX('3. Analysis'!$C$15:$R$15)</f>
        <v>3996659.5692795301</v>
      </c>
      <c r="D56" s="188"/>
      <c r="E56" s="43"/>
      <c r="F56" s="21"/>
      <c r="G56" s="21"/>
      <c r="H56" s="53"/>
      <c r="I56" s="21"/>
      <c r="J56" s="21"/>
      <c r="K56" s="21"/>
      <c r="L56" s="21"/>
      <c r="M56" s="21"/>
    </row>
    <row r="57" spans="1:13" x14ac:dyDescent="0.25">
      <c r="A57" s="48"/>
      <c r="B57" s="197"/>
      <c r="C57" s="48"/>
      <c r="D57" s="188"/>
      <c r="E57" s="42"/>
      <c r="L57" s="49"/>
    </row>
    <row r="58" spans="1:13" x14ac:dyDescent="0.25">
      <c r="A58" s="48"/>
      <c r="B58" s="198" t="s">
        <v>121</v>
      </c>
      <c r="C58" s="199"/>
      <c r="D58" s="200">
        <f>SUM(D49:D51,D45:D47)</f>
        <v>2821500</v>
      </c>
      <c r="E58" s="42"/>
      <c r="J58"/>
      <c r="K58"/>
      <c r="L58"/>
      <c r="M58"/>
    </row>
    <row r="59" spans="1:13" x14ac:dyDescent="0.25">
      <c r="A59" s="48"/>
      <c r="B59" s="201" t="s">
        <v>123</v>
      </c>
      <c r="C59" s="48"/>
      <c r="D59" s="202">
        <f>D58-L28</f>
        <v>0</v>
      </c>
      <c r="E59" s="42"/>
      <c r="I59" s="49"/>
      <c r="J59"/>
      <c r="K59"/>
      <c r="L59"/>
      <c r="M59"/>
    </row>
    <row r="60" spans="1:13" x14ac:dyDescent="0.25">
      <c r="A60" s="48"/>
      <c r="B60" s="203" t="s">
        <v>184</v>
      </c>
      <c r="C60" s="189">
        <f>D17</f>
        <v>0.1</v>
      </c>
      <c r="D60" s="188">
        <f>D45+D50+SUM($H$18,$H$15)</f>
        <v>407500</v>
      </c>
      <c r="E60" s="42"/>
      <c r="J60"/>
      <c r="K60"/>
      <c r="L60"/>
      <c r="M60"/>
    </row>
    <row r="61" spans="1:13" ht="15.75" thickBot="1" x14ac:dyDescent="0.3">
      <c r="A61" s="48"/>
      <c r="B61" s="204" t="s">
        <v>123</v>
      </c>
      <c r="C61" s="205"/>
      <c r="D61" s="206">
        <f>D60-SUM(L19:L20)</f>
        <v>0</v>
      </c>
      <c r="E61" s="42"/>
      <c r="F61"/>
      <c r="G61"/>
      <c r="H61"/>
      <c r="J61"/>
      <c r="K61"/>
      <c r="L61"/>
      <c r="M61"/>
    </row>
    <row r="62" spans="1:13" x14ac:dyDescent="0.25">
      <c r="A62" s="48"/>
      <c r="E62" s="42"/>
      <c r="F62"/>
      <c r="G62"/>
      <c r="H62"/>
      <c r="J62"/>
      <c r="K62"/>
      <c r="L62"/>
      <c r="M62"/>
    </row>
    <row r="63" spans="1:13" x14ac:dyDescent="0.25">
      <c r="A63" s="48"/>
      <c r="E63" s="42"/>
      <c r="F63"/>
      <c r="G63"/>
      <c r="H63"/>
      <c r="I63" s="54"/>
      <c r="J63"/>
      <c r="K63"/>
      <c r="L63"/>
      <c r="M63"/>
    </row>
    <row r="64" spans="1:13" s="48" customFormat="1" x14ac:dyDescent="0.25">
      <c r="B64" s="49"/>
      <c r="C64" s="49"/>
      <c r="D64" s="49"/>
      <c r="E64" s="21"/>
      <c r="F64"/>
      <c r="G64"/>
      <c r="H64"/>
      <c r="I64" s="21"/>
      <c r="J64"/>
      <c r="K64"/>
      <c r="L64"/>
      <c r="M64"/>
    </row>
    <row r="65" spans="1:18" s="48" customFormat="1" x14ac:dyDescent="0.25">
      <c r="B65" s="21"/>
      <c r="C65" s="21"/>
      <c r="D65" s="21"/>
      <c r="E65" s="55"/>
      <c r="F65"/>
      <c r="G65"/>
      <c r="H65"/>
      <c r="I65" s="21"/>
      <c r="J65"/>
      <c r="K65"/>
      <c r="L65"/>
      <c r="M65"/>
    </row>
    <row r="66" spans="1:18" s="48" customFormat="1" x14ac:dyDescent="0.25">
      <c r="B66" s="21"/>
      <c r="C66" s="21"/>
      <c r="D66" s="21"/>
      <c r="E66" s="43"/>
      <c r="F66" s="49"/>
      <c r="G66" s="49"/>
      <c r="H66" s="49"/>
      <c r="I66" s="21"/>
      <c r="J66"/>
      <c r="K66"/>
      <c r="L66"/>
      <c r="M66"/>
    </row>
    <row r="67" spans="1:18" s="48" customFormat="1" x14ac:dyDescent="0.25">
      <c r="B67" s="21"/>
      <c r="C67" s="21"/>
      <c r="D67" s="21"/>
      <c r="E67" s="43"/>
      <c r="J67"/>
      <c r="K67"/>
      <c r="L67"/>
      <c r="M67"/>
    </row>
    <row r="68" spans="1:18" s="48" customFormat="1" x14ac:dyDescent="0.25">
      <c r="B68" s="21"/>
      <c r="C68" s="21"/>
      <c r="D68" s="21"/>
      <c r="E68" s="55"/>
      <c r="F68" s="49"/>
      <c r="G68" s="49"/>
      <c r="H68" s="49"/>
      <c r="J68"/>
      <c r="K68"/>
      <c r="L68"/>
      <c r="M68"/>
    </row>
    <row r="69" spans="1:18" s="48" customFormat="1" x14ac:dyDescent="0.25">
      <c r="B69" s="21"/>
      <c r="C69" s="21"/>
      <c r="D69" s="21"/>
      <c r="F69" s="21"/>
      <c r="G69" s="21"/>
      <c r="H69" s="21"/>
      <c r="J69"/>
      <c r="K69"/>
      <c r="L69"/>
      <c r="M69"/>
    </row>
    <row r="70" spans="1:18" s="48" customFormat="1" x14ac:dyDescent="0.25">
      <c r="B70" s="21"/>
      <c r="C70" s="21"/>
      <c r="D70" s="21"/>
      <c r="F70" s="21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1"/>
    </row>
    <row r="71" spans="1:18" s="48" customFormat="1" x14ac:dyDescent="0.25">
      <c r="A71" s="49"/>
      <c r="B71" s="21"/>
      <c r="C71" s="21"/>
      <c r="D71" s="21"/>
      <c r="F71" s="21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1"/>
    </row>
    <row r="72" spans="1:18" s="48" customFormat="1" x14ac:dyDescent="0.25">
      <c r="A72" s="49"/>
      <c r="F72" s="21"/>
      <c r="G72" s="21"/>
      <c r="H72" s="21"/>
      <c r="J72" s="21"/>
      <c r="K72" s="21"/>
      <c r="L72" s="21"/>
      <c r="M72" s="21"/>
    </row>
    <row r="73" spans="1:18" s="48" customFormat="1" x14ac:dyDescent="0.25">
      <c r="A73" s="49"/>
      <c r="F73" s="21"/>
      <c r="G73" s="21"/>
      <c r="H73" s="21"/>
      <c r="J73" s="21"/>
      <c r="K73" s="21"/>
      <c r="L73" s="21"/>
      <c r="M73" s="21"/>
    </row>
    <row r="74" spans="1:18" s="48" customFormat="1" x14ac:dyDescent="0.25">
      <c r="A74" s="49"/>
      <c r="J74" s="21"/>
      <c r="K74" s="21"/>
      <c r="L74" s="21"/>
      <c r="M74" s="21"/>
    </row>
    <row r="75" spans="1:18" s="48" customFormat="1" x14ac:dyDescent="0.25">
      <c r="A75" s="49"/>
      <c r="J75" s="21"/>
      <c r="K75" s="21"/>
      <c r="L75" s="21"/>
      <c r="M75" s="21"/>
    </row>
    <row r="76" spans="1:18" s="48" customFormat="1" x14ac:dyDescent="0.25">
      <c r="A76" s="21"/>
      <c r="E76" s="49"/>
      <c r="J76" s="21"/>
      <c r="K76" s="21"/>
      <c r="L76" s="21"/>
      <c r="M76" s="21"/>
    </row>
    <row r="77" spans="1:18" s="48" customFormat="1" x14ac:dyDescent="0.25">
      <c r="A77" s="21"/>
      <c r="E77" s="49"/>
      <c r="J77" s="49"/>
      <c r="K77" s="49"/>
      <c r="L77" s="49"/>
      <c r="M77" s="49"/>
    </row>
    <row r="78" spans="1:18" s="48" customFormat="1" x14ac:dyDescent="0.25">
      <c r="A78" s="21"/>
      <c r="B78" s="21"/>
      <c r="C78" s="21"/>
      <c r="D78" s="21"/>
      <c r="E78" s="49"/>
      <c r="J78" s="21"/>
      <c r="K78" s="21"/>
      <c r="L78" s="21"/>
      <c r="M78" s="21"/>
    </row>
    <row r="79" spans="1:18" s="48" customFormat="1" x14ac:dyDescent="0.25">
      <c r="A79" s="21"/>
      <c r="B79" s="49"/>
      <c r="C79" s="49"/>
      <c r="D79" s="49"/>
      <c r="E79" s="49"/>
      <c r="J79" s="21"/>
      <c r="K79" s="21"/>
      <c r="L79" s="21"/>
      <c r="M79" s="21"/>
    </row>
    <row r="80" spans="1:18" s="49" customFormat="1" x14ac:dyDescent="0.25">
      <c r="A80" s="21"/>
      <c r="B80" s="21"/>
      <c r="C80" s="21"/>
      <c r="D80" s="21"/>
      <c r="F80" s="48"/>
      <c r="G80" s="48"/>
      <c r="H80" s="48"/>
      <c r="J80" s="21"/>
      <c r="K80" s="21"/>
      <c r="L80" s="21"/>
      <c r="M80" s="21"/>
    </row>
    <row r="81" spans="1:13" s="49" customFormat="1" ht="15.75" x14ac:dyDescent="0.25">
      <c r="A81" s="21"/>
      <c r="B81" s="21"/>
      <c r="C81" s="21"/>
      <c r="D81" s="21"/>
      <c r="E81" s="21"/>
      <c r="F81" s="56"/>
      <c r="G81" s="56"/>
      <c r="H81" s="56"/>
      <c r="J81" s="48"/>
      <c r="K81" s="48"/>
      <c r="L81" s="48"/>
      <c r="M81" s="48"/>
    </row>
    <row r="82" spans="1:13" s="49" customFormat="1" x14ac:dyDescent="0.25">
      <c r="A82" s="21"/>
      <c r="B82" s="21"/>
      <c r="C82" s="21"/>
      <c r="D82" s="21"/>
      <c r="E82" s="21"/>
      <c r="J82" s="48"/>
      <c r="K82" s="48"/>
      <c r="L82" s="48"/>
      <c r="M82" s="48"/>
    </row>
    <row r="83" spans="1:13" s="49" customFormat="1" x14ac:dyDescent="0.25">
      <c r="A83" s="21"/>
      <c r="B83" s="21"/>
      <c r="C83" s="21"/>
      <c r="D83" s="21"/>
      <c r="E83" s="21"/>
      <c r="F83" s="21"/>
      <c r="G83" s="21"/>
      <c r="H83" s="21"/>
      <c r="J83" s="48"/>
      <c r="K83" s="48"/>
      <c r="L83" s="48"/>
      <c r="M83" s="48"/>
    </row>
    <row r="84" spans="1:13" s="49" customFormat="1" ht="15.75" x14ac:dyDescent="0.25">
      <c r="A84" s="56"/>
      <c r="B84" s="21"/>
      <c r="C84" s="21"/>
      <c r="D84" s="21"/>
      <c r="E84" s="21"/>
      <c r="F84" s="57"/>
      <c r="G84" s="57"/>
      <c r="H84" s="57"/>
      <c r="J84" s="48"/>
      <c r="K84" s="48"/>
      <c r="L84" s="48"/>
      <c r="M84" s="48"/>
    </row>
    <row r="85" spans="1:13" x14ac:dyDescent="0.25">
      <c r="A85" s="49"/>
      <c r="J85" s="48"/>
      <c r="K85" s="48"/>
      <c r="L85" s="48"/>
      <c r="M85" s="48"/>
    </row>
    <row r="86" spans="1:13" x14ac:dyDescent="0.25">
      <c r="B86" s="48" t="s">
        <v>110</v>
      </c>
      <c r="D86" s="48" t="s">
        <v>110</v>
      </c>
      <c r="J86" s="48"/>
      <c r="K86" s="48"/>
      <c r="L86" s="49"/>
      <c r="M86" s="48"/>
    </row>
    <row r="87" spans="1:13" ht="15.75" x14ac:dyDescent="0.25">
      <c r="A87" s="57"/>
      <c r="B87" s="48"/>
      <c r="C87" s="48"/>
      <c r="D87" s="48"/>
      <c r="J87" s="49"/>
      <c r="K87" s="49"/>
      <c r="L87" s="49"/>
      <c r="M87" s="49"/>
    </row>
    <row r="88" spans="1:13" x14ac:dyDescent="0.25">
      <c r="B88" s="21" t="s">
        <v>111</v>
      </c>
      <c r="C88" s="48"/>
      <c r="D88" s="21" t="s">
        <v>104</v>
      </c>
      <c r="J88" s="49"/>
      <c r="K88" s="49"/>
      <c r="L88" s="49"/>
      <c r="M88" s="49"/>
    </row>
    <row r="89" spans="1:13" x14ac:dyDescent="0.25">
      <c r="B89" s="21" t="s">
        <v>112</v>
      </c>
      <c r="C89" s="48"/>
      <c r="D89" s="21" t="s">
        <v>117</v>
      </c>
      <c r="J89" s="49"/>
      <c r="K89" s="49"/>
      <c r="L89" s="49"/>
      <c r="M89" s="49"/>
    </row>
    <row r="90" spans="1:13" ht="15.75" x14ac:dyDescent="0.25">
      <c r="B90" s="21" t="s">
        <v>113</v>
      </c>
      <c r="C90" s="48"/>
      <c r="D90" s="21" t="s">
        <v>118</v>
      </c>
      <c r="G90" s="58"/>
      <c r="H90" s="58"/>
      <c r="J90" s="49"/>
      <c r="K90" s="49"/>
      <c r="L90" s="49"/>
      <c r="M90" s="49"/>
    </row>
    <row r="91" spans="1:13" x14ac:dyDescent="0.25">
      <c r="B91" s="21" t="s">
        <v>114</v>
      </c>
      <c r="C91" s="48"/>
      <c r="D91" s="21" t="s">
        <v>119</v>
      </c>
      <c r="G91" s="49"/>
      <c r="H91" s="49"/>
      <c r="J91" s="49"/>
      <c r="K91" s="49"/>
      <c r="M91" s="49"/>
    </row>
    <row r="92" spans="1:13" x14ac:dyDescent="0.25">
      <c r="B92" s="21" t="s">
        <v>199</v>
      </c>
      <c r="C92" s="48"/>
      <c r="D92" s="21" t="s">
        <v>120</v>
      </c>
    </row>
    <row r="93" spans="1:13" s="56" customFormat="1" ht="15.75" x14ac:dyDescent="0.25">
      <c r="A93" s="21"/>
      <c r="B93" s="21"/>
      <c r="C93" s="48"/>
      <c r="D93" s="21" t="s">
        <v>201</v>
      </c>
      <c r="E93" s="21"/>
      <c r="F93" s="21"/>
      <c r="G93" s="57"/>
      <c r="H93" s="57"/>
      <c r="J93" s="21"/>
      <c r="K93" s="21"/>
      <c r="L93" s="21"/>
      <c r="M93" s="21"/>
    </row>
    <row r="94" spans="1:13" s="49" customFormat="1" x14ac:dyDescent="0.25">
      <c r="A94" s="21"/>
      <c r="B94" s="21"/>
      <c r="C94" s="48"/>
      <c r="D94" s="48"/>
      <c r="E94" s="21"/>
      <c r="F94" s="21"/>
      <c r="G94" s="21"/>
      <c r="H94" s="21"/>
      <c r="J94" s="21"/>
      <c r="K94" s="21"/>
      <c r="L94" s="21"/>
      <c r="M94" s="21"/>
    </row>
    <row r="95" spans="1:13" x14ac:dyDescent="0.25">
      <c r="C95" s="48"/>
      <c r="D95" s="48"/>
    </row>
    <row r="96" spans="1:13" s="57" customFormat="1" ht="15.75" x14ac:dyDescent="0.25">
      <c r="A96" s="21"/>
      <c r="B96" s="48"/>
      <c r="C96" s="48"/>
      <c r="D96" s="48"/>
      <c r="E96" s="21"/>
      <c r="F96" s="21"/>
      <c r="G96" s="21"/>
      <c r="H96" s="21"/>
      <c r="J96" s="21"/>
      <c r="K96" s="21"/>
      <c r="L96" s="21"/>
      <c r="M96" s="21"/>
    </row>
    <row r="97" spans="2:18" x14ac:dyDescent="0.25">
      <c r="B97" s="48"/>
      <c r="C97" s="48"/>
      <c r="D97" s="48"/>
    </row>
    <row r="98" spans="2:18" x14ac:dyDescent="0.25">
      <c r="B98" s="48"/>
      <c r="C98" s="48"/>
      <c r="D98" s="48"/>
    </row>
    <row r="99" spans="2:18" ht="15.75" x14ac:dyDescent="0.25">
      <c r="B99" s="49"/>
      <c r="C99" s="49"/>
      <c r="D99" s="49"/>
      <c r="L99" s="56"/>
    </row>
    <row r="100" spans="2:18" ht="15.75" x14ac:dyDescent="0.25">
      <c r="B100" s="49"/>
      <c r="C100" s="49"/>
      <c r="D100" s="49"/>
      <c r="J100" s="56"/>
      <c r="K100" s="56"/>
      <c r="L100" s="49"/>
      <c r="M100" s="56"/>
    </row>
    <row r="101" spans="2:18" x14ac:dyDescent="0.25">
      <c r="B101" s="49"/>
      <c r="C101" s="49"/>
      <c r="D101" s="49"/>
      <c r="J101" s="49"/>
      <c r="K101" s="49"/>
      <c r="M101" s="49"/>
    </row>
    <row r="102" spans="2:18" ht="15.75" x14ac:dyDescent="0.25">
      <c r="B102" s="49"/>
      <c r="C102" s="49"/>
      <c r="D102" s="49"/>
      <c r="I102" s="57"/>
      <c r="L102" s="57"/>
    </row>
    <row r="103" spans="2:18" ht="15.75" x14ac:dyDescent="0.25">
      <c r="B103" s="49"/>
      <c r="C103" s="49"/>
      <c r="D103" s="49"/>
      <c r="J103" s="57"/>
      <c r="K103" s="57"/>
      <c r="M103" s="57"/>
      <c r="N103" s="56"/>
      <c r="O103" s="56"/>
      <c r="P103" s="56"/>
      <c r="Q103" s="56"/>
      <c r="R103" s="56"/>
    </row>
    <row r="104" spans="2:18" x14ac:dyDescent="0.25">
      <c r="N104" s="49"/>
      <c r="O104" s="49"/>
      <c r="P104" s="49"/>
      <c r="Q104" s="49"/>
      <c r="R104" s="49"/>
    </row>
    <row r="106" spans="2:18" ht="15.75" x14ac:dyDescent="0.25">
      <c r="N106" s="57"/>
      <c r="O106" s="57"/>
      <c r="P106" s="57"/>
      <c r="Q106" s="57"/>
      <c r="R106" s="57"/>
    </row>
    <row r="108" spans="2:18" x14ac:dyDescent="0.25">
      <c r="L108" s="49"/>
    </row>
    <row r="110" spans="2:18" ht="15.75" x14ac:dyDescent="0.25">
      <c r="L110" s="57"/>
    </row>
    <row r="111" spans="2:18" ht="15.75" x14ac:dyDescent="0.25">
      <c r="J111" s="56"/>
      <c r="K111" s="59"/>
    </row>
    <row r="112" spans="2:18" x14ac:dyDescent="0.25">
      <c r="J112" s="49"/>
      <c r="K112" s="49"/>
    </row>
    <row r="114" spans="10:13" ht="15.75" x14ac:dyDescent="0.25">
      <c r="J114" s="57"/>
      <c r="K114" s="57"/>
    </row>
    <row r="117" spans="10:13" ht="15.75" x14ac:dyDescent="0.25">
      <c r="M117" s="56"/>
    </row>
    <row r="118" spans="10:13" x14ac:dyDescent="0.25">
      <c r="M118" s="49"/>
    </row>
    <row r="120" spans="10:13" ht="15.75" x14ac:dyDescent="0.25">
      <c r="M120" s="57"/>
    </row>
  </sheetData>
  <mergeCells count="1">
    <mergeCell ref="B7:D7"/>
  </mergeCells>
  <conditionalFormatting sqref="H53">
    <cfRule type="cellIs" dxfId="14" priority="3" operator="lessThan">
      <formula>1.15</formula>
    </cfRule>
  </conditionalFormatting>
  <conditionalFormatting sqref="M38:M43">
    <cfRule type="containsText" dxfId="13" priority="1" operator="containsText" text="Y">
      <formula>NOT(ISERROR(SEARCH("Y",M38)))</formula>
    </cfRule>
    <cfRule type="containsText" dxfId="12" priority="2" operator="containsText" text="N">
      <formula>NOT(ISERROR(SEARCH("N",M38)))</formula>
    </cfRule>
  </conditionalFormatting>
  <dataValidations count="2">
    <dataValidation type="list" allowBlank="1" showInputMessage="1" showErrorMessage="1" sqref="D9" xr:uid="{0827DCAE-F140-4CC9-89EE-C3C40284AD70}">
      <formula1>$B$88:$B$92</formula1>
    </dataValidation>
    <dataValidation type="list" allowBlank="1" showInputMessage="1" showErrorMessage="1" sqref="D15" xr:uid="{E7D9BE55-98F5-441A-BA43-02C1A8193257}">
      <formula1>$D$88:$D$93</formula1>
    </dataValidation>
  </dataValidations>
  <printOptions horizontalCentered="1"/>
  <pageMargins left="0.25" right="0.25" top="0.25" bottom="0.25" header="0.3" footer="0.3"/>
  <pageSetup paperSize="9" fitToWidth="0" fitToHeight="0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50A6A-C620-4F9D-BCF1-210C0967F35A}">
  <sheetPr>
    <outlinePr summaryBelow="0" summaryRight="0"/>
  </sheetPr>
  <dimension ref="A8:R60"/>
  <sheetViews>
    <sheetView showGridLines="0" topLeftCell="A20" zoomScale="90" zoomScaleNormal="90" workbookViewId="0">
      <selection activeCell="B26" sqref="B26"/>
    </sheetView>
  </sheetViews>
  <sheetFormatPr defaultColWidth="12.7109375" defaultRowHeight="13.5" x14ac:dyDescent="0.25"/>
  <cols>
    <col min="1" max="1" width="5" customWidth="1"/>
    <col min="2" max="2" width="20.140625" bestFit="1" customWidth="1"/>
    <col min="3" max="3" width="24" bestFit="1" customWidth="1"/>
  </cols>
  <sheetData>
    <row r="8" spans="1:18" ht="15" x14ac:dyDescent="0.25">
      <c r="A8" t="s">
        <v>264</v>
      </c>
      <c r="B8" s="266" t="s">
        <v>195</v>
      </c>
      <c r="C8" s="265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</row>
    <row r="10" spans="1:18" x14ac:dyDescent="0.25">
      <c r="C10" s="307" t="s">
        <v>61</v>
      </c>
    </row>
    <row r="11" spans="1:18" x14ac:dyDescent="0.25">
      <c r="C11" s="306">
        <v>0</v>
      </c>
      <c r="D11" s="306">
        <f>C11+1</f>
        <v>1</v>
      </c>
      <c r="E11" s="306">
        <f t="shared" ref="E11:R11" si="0">D11+1</f>
        <v>2</v>
      </c>
      <c r="F11" s="306">
        <f t="shared" si="0"/>
        <v>3</v>
      </c>
      <c r="G11" s="306">
        <f t="shared" si="0"/>
        <v>4</v>
      </c>
      <c r="H11" s="306">
        <f t="shared" si="0"/>
        <v>5</v>
      </c>
      <c r="I11" s="306">
        <f t="shared" si="0"/>
        <v>6</v>
      </c>
      <c r="J11" s="306">
        <f t="shared" si="0"/>
        <v>7</v>
      </c>
      <c r="K11" s="306">
        <f t="shared" si="0"/>
        <v>8</v>
      </c>
      <c r="L11" s="306">
        <f t="shared" si="0"/>
        <v>9</v>
      </c>
      <c r="M11" s="306">
        <f t="shared" si="0"/>
        <v>10</v>
      </c>
      <c r="N11" s="306">
        <f t="shared" si="0"/>
        <v>11</v>
      </c>
      <c r="O11" s="306">
        <f t="shared" si="0"/>
        <v>12</v>
      </c>
      <c r="P11" s="306">
        <f t="shared" si="0"/>
        <v>13</v>
      </c>
      <c r="Q11" s="306">
        <f t="shared" si="0"/>
        <v>14</v>
      </c>
      <c r="R11" s="306">
        <f t="shared" si="0"/>
        <v>15</v>
      </c>
    </row>
    <row r="13" spans="1:18" x14ac:dyDescent="0.25">
      <c r="B13" t="s">
        <v>196</v>
      </c>
      <c r="C13" s="309">
        <f>IF(C11&gt;'2.Dashboard'!$C$54,0,-'2.Dashboard'!$D$60)</f>
        <v>-407500</v>
      </c>
      <c r="D13" s="309">
        <f>IF(D11&gt;'2.Dashboard'!$C$54,0,'5. 15 Year Projection'!F$38)</f>
        <v>33738.937692580395</v>
      </c>
      <c r="E13" s="309">
        <f>IF(E11&gt;'2.Dashboard'!$C$54,0,'5. 15 Year Projection'!G$38)</f>
        <v>44985.25025677387</v>
      </c>
      <c r="F13" s="309">
        <f>IF(F11&gt;'2.Dashboard'!$C$54,0,'5. 15 Year Projection'!H$38)</f>
        <v>54748.780256773782</v>
      </c>
      <c r="G13" s="309">
        <f>IF(G11&gt;'2.Dashboard'!$C$54,0,'5. 15 Year Projection'!I$38)</f>
        <v>64875.041156773776</v>
      </c>
      <c r="H13" s="309">
        <f>IF(H11&gt;'2.Dashboard'!$C$54,0,'5. 15 Year Projection'!J$38)</f>
        <v>75377.358758773684</v>
      </c>
      <c r="I13" s="309">
        <f>IF(I11&gt;'2.Dashboard'!$C$54,0,'5. 15 Year Projection'!K$38)</f>
        <v>86269.544174458686</v>
      </c>
      <c r="J13" s="309">
        <f>IF(J11&gt;'2.Dashboard'!$C$54,0,'5. 15 Year Projection'!L$38)</f>
        <v>97565.911378235993</v>
      </c>
      <c r="K13" s="309">
        <f>IF(K11&gt;'2.Dashboard'!$C$54,0,'5. 15 Year Projection'!M$38)</f>
        <v>109281.29539164525</v>
      </c>
      <c r="L13" s="309">
        <f>IF(L11&gt;'2.Dashboard'!$C$54,0,'5. 15 Year Projection'!N$38)</f>
        <v>121431.07112174874</v>
      </c>
      <c r="M13" s="309">
        <f>IF(M11&gt;'2.Dashboard'!$C$54,0,'5. 15 Year Projection'!O$38)</f>
        <v>134031.17287691715</v>
      </c>
      <c r="N13" s="309">
        <f>IF(N11&gt;'2.Dashboard'!$C$54,0,'5. 15 Year Projection'!P$38)</f>
        <v>0</v>
      </c>
      <c r="O13" s="309">
        <f>IF(O11&gt;'2.Dashboard'!$C$54,0,'5. 15 Year Projection'!Q$38)</f>
        <v>0</v>
      </c>
      <c r="P13" s="309">
        <f>IF(P11&gt;'2.Dashboard'!$C$54,0,'5. 15 Year Projection'!R$38)</f>
        <v>0</v>
      </c>
      <c r="Q13" s="309">
        <f>IF(Q11&gt;'2.Dashboard'!$C$54,0,'5. 15 Year Projection'!S$38)</f>
        <v>0</v>
      </c>
      <c r="R13" s="309">
        <f>IF(R11&gt;'2.Dashboard'!$C$54,0,'5. 15 Year Projection'!T$38)</f>
        <v>0</v>
      </c>
    </row>
    <row r="14" spans="1:18" x14ac:dyDescent="0.25">
      <c r="B14" s="410"/>
      <c r="C14" s="411"/>
      <c r="D14" s="411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</row>
    <row r="15" spans="1:18" x14ac:dyDescent="0.25">
      <c r="B15" t="s">
        <v>254</v>
      </c>
      <c r="C15" s="309">
        <f>'2.Dashboard'!$D$38</f>
        <v>2700000</v>
      </c>
      <c r="D15" s="309">
        <f>IF(D11&gt;'2.Dashboard'!$C$54,0,C15*(1+'2.Dashboard'!$C$53))</f>
        <v>2808000</v>
      </c>
      <c r="E15" s="309">
        <f>IF(E11&gt;'2.Dashboard'!$C$54,0,D15*(1+'2.Dashboard'!$C$53))</f>
        <v>2920320</v>
      </c>
      <c r="F15" s="309">
        <f>IF(F11&gt;'2.Dashboard'!$C$54,0,E15*(1+'2.Dashboard'!$C$53))</f>
        <v>3037132.8000000003</v>
      </c>
      <c r="G15" s="309">
        <f>IF(G11&gt;'2.Dashboard'!$C$54,0,F15*(1+'2.Dashboard'!$C$53))</f>
        <v>3158618.1120000002</v>
      </c>
      <c r="H15" s="309">
        <f>IF(H11&gt;'2.Dashboard'!$C$54,0,G15*(1+'2.Dashboard'!$C$53))</f>
        <v>3284962.8364800005</v>
      </c>
      <c r="I15" s="309">
        <f>IF(I11&gt;'2.Dashboard'!$C$54,0,H15*(1+'2.Dashboard'!$C$53))</f>
        <v>3416361.3499392006</v>
      </c>
      <c r="J15" s="309">
        <f>IF(J11&gt;'2.Dashboard'!$C$54,0,I15*(1+'2.Dashboard'!$C$53))</f>
        <v>3553015.8039367688</v>
      </c>
      <c r="K15" s="309">
        <f>IF(K11&gt;'2.Dashboard'!$C$54,0,J15*(1+'2.Dashboard'!$C$53))</f>
        <v>3695136.4360942398</v>
      </c>
      <c r="L15" s="309">
        <f>IF(L11&gt;'2.Dashboard'!$C$54,0,K15*(1+'2.Dashboard'!$C$53))</f>
        <v>3842941.8935380094</v>
      </c>
      <c r="M15" s="309">
        <f>IF(M11&gt;'2.Dashboard'!$C$54,0,L15*(1+'2.Dashboard'!$C$53))</f>
        <v>3996659.5692795301</v>
      </c>
      <c r="N15" s="309">
        <f>IF(N11&gt;'2.Dashboard'!$C$54,0,M15*(1+'2.Dashboard'!$C$53))</f>
        <v>0</v>
      </c>
      <c r="O15" s="309">
        <f>IF(O11&gt;'2.Dashboard'!$C$54,0,N15*(1+'2.Dashboard'!$C$53))</f>
        <v>0</v>
      </c>
      <c r="P15" s="309">
        <f>IF(P11&gt;'2.Dashboard'!$C$54,0,O15*(1+'2.Dashboard'!$C$53))</f>
        <v>0</v>
      </c>
      <c r="Q15" s="309">
        <f>IF(Q11&gt;'2.Dashboard'!$C$54,0,P15*(1+'2.Dashboard'!$C$53))</f>
        <v>0</v>
      </c>
      <c r="R15" s="309">
        <f>IF(R11&gt;'2.Dashboard'!$C$54,0,Q15*(1+'2.Dashboard'!$C$53))</f>
        <v>0</v>
      </c>
    </row>
    <row r="16" spans="1:18" x14ac:dyDescent="0.25">
      <c r="B16" s="412" t="s">
        <v>251</v>
      </c>
      <c r="C16" s="411">
        <f>IF(C15&gt;0,C31,0)</f>
        <v>2430000</v>
      </c>
      <c r="D16" s="411">
        <f t="shared" ref="D16:R16" si="1">IF(D15&gt;0,D31,0)</f>
        <v>2409700.6552624172</v>
      </c>
      <c r="E16" s="411">
        <f t="shared" si="1"/>
        <v>2387716.4749230985</v>
      </c>
      <c r="F16" s="411">
        <f t="shared" si="1"/>
        <v>2363907.618458048</v>
      </c>
      <c r="G16" s="411">
        <f t="shared" si="1"/>
        <v>2338122.6386487479</v>
      </c>
      <c r="H16" s="411">
        <f t="shared" si="1"/>
        <v>2310197.5182322352</v>
      </c>
      <c r="I16" s="411">
        <f t="shared" si="1"/>
        <v>2279954.6265936107</v>
      </c>
      <c r="J16" s="411">
        <f t="shared" si="1"/>
        <v>2247201.5898645469</v>
      </c>
      <c r="K16" s="411">
        <f t="shared" si="1"/>
        <v>2211730.0672405232</v>
      </c>
      <c r="L16" s="411">
        <f t="shared" si="1"/>
        <v>2173314.4257329935</v>
      </c>
      <c r="M16" s="411">
        <f t="shared" si="1"/>
        <v>2131710.304926645</v>
      </c>
      <c r="N16" s="411">
        <f t="shared" si="1"/>
        <v>0</v>
      </c>
      <c r="O16" s="411">
        <f t="shared" si="1"/>
        <v>0</v>
      </c>
      <c r="P16" s="411">
        <f t="shared" si="1"/>
        <v>0</v>
      </c>
      <c r="Q16" s="411">
        <f t="shared" si="1"/>
        <v>0</v>
      </c>
      <c r="R16" s="411">
        <f t="shared" si="1"/>
        <v>0</v>
      </c>
    </row>
    <row r="17" spans="1:18" x14ac:dyDescent="0.25">
      <c r="B17" s="412"/>
      <c r="C17" s="411"/>
      <c r="D17" s="411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</row>
    <row r="18" spans="1:18" x14ac:dyDescent="0.25">
      <c r="B18" s="412" t="s">
        <v>256</v>
      </c>
      <c r="C18" s="411">
        <f>C15-C16</f>
        <v>270000</v>
      </c>
      <c r="D18" s="411">
        <f t="shared" ref="D18:R18" si="2">D15-D16</f>
        <v>398299.34473758284</v>
      </c>
      <c r="E18" s="411">
        <f t="shared" si="2"/>
        <v>532603.52507690154</v>
      </c>
      <c r="F18" s="411">
        <f t="shared" si="2"/>
        <v>673225.1815419523</v>
      </c>
      <c r="G18" s="411">
        <f t="shared" si="2"/>
        <v>820495.47335125227</v>
      </c>
      <c r="H18" s="411">
        <f t="shared" si="2"/>
        <v>974765.3182477653</v>
      </c>
      <c r="I18" s="411">
        <f t="shared" si="2"/>
        <v>1136406.7233455898</v>
      </c>
      <c r="J18" s="411">
        <f t="shared" si="2"/>
        <v>1305814.2140722219</v>
      </c>
      <c r="K18" s="411">
        <f t="shared" si="2"/>
        <v>1483406.3688537166</v>
      </c>
      <c r="L18" s="411">
        <f t="shared" si="2"/>
        <v>1669627.4678050159</v>
      </c>
      <c r="M18" s="411">
        <f t="shared" si="2"/>
        <v>1864949.2643528851</v>
      </c>
      <c r="N18" s="411">
        <f t="shared" si="2"/>
        <v>0</v>
      </c>
      <c r="O18" s="411">
        <f t="shared" si="2"/>
        <v>0</v>
      </c>
      <c r="P18" s="411">
        <f t="shared" si="2"/>
        <v>0</v>
      </c>
      <c r="Q18" s="411">
        <f t="shared" si="2"/>
        <v>0</v>
      </c>
      <c r="R18" s="411">
        <f t="shared" si="2"/>
        <v>0</v>
      </c>
    </row>
    <row r="19" spans="1:18" x14ac:dyDescent="0.25">
      <c r="B19" s="412"/>
      <c r="C19" s="411"/>
      <c r="D19" s="411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</row>
    <row r="20" spans="1:18" ht="14.25" thickBot="1" x14ac:dyDescent="0.3">
      <c r="B20" s="414" t="s">
        <v>255</v>
      </c>
      <c r="C20" s="415">
        <f>IF(D13=0,C13+C18,C13)</f>
        <v>-407500</v>
      </c>
      <c r="D20" s="415">
        <f t="shared" ref="D20:R20" si="3">IF(E13=0,D13+D18,D13)</f>
        <v>33738.937692580395</v>
      </c>
      <c r="E20" s="415">
        <f t="shared" si="3"/>
        <v>44985.25025677387</v>
      </c>
      <c r="F20" s="415">
        <f t="shared" si="3"/>
        <v>54748.780256773782</v>
      </c>
      <c r="G20" s="415">
        <f t="shared" si="3"/>
        <v>64875.041156773776</v>
      </c>
      <c r="H20" s="415">
        <f t="shared" si="3"/>
        <v>75377.358758773684</v>
      </c>
      <c r="I20" s="415">
        <f t="shared" si="3"/>
        <v>86269.544174458686</v>
      </c>
      <c r="J20" s="415">
        <f t="shared" si="3"/>
        <v>97565.911378235993</v>
      </c>
      <c r="K20" s="415">
        <f t="shared" si="3"/>
        <v>109281.29539164525</v>
      </c>
      <c r="L20" s="415">
        <f t="shared" si="3"/>
        <v>121431.07112174874</v>
      </c>
      <c r="M20" s="415">
        <f t="shared" si="3"/>
        <v>1998980.4372298021</v>
      </c>
      <c r="N20" s="415">
        <f t="shared" si="3"/>
        <v>0</v>
      </c>
      <c r="O20" s="415">
        <f t="shared" si="3"/>
        <v>0</v>
      </c>
      <c r="P20" s="415">
        <f t="shared" si="3"/>
        <v>0</v>
      </c>
      <c r="Q20" s="415">
        <f t="shared" si="3"/>
        <v>0</v>
      </c>
      <c r="R20" s="415">
        <f t="shared" si="3"/>
        <v>0</v>
      </c>
    </row>
    <row r="21" spans="1:18" ht="14.25" thickTop="1" x14ac:dyDescent="0.25"/>
    <row r="22" spans="1:18" ht="14.25" thickBot="1" x14ac:dyDescent="0.3">
      <c r="B22" t="s">
        <v>195</v>
      </c>
      <c r="C22" s="399">
        <f>IF(IRR(C20:R20)&lt;0,0,IRR(C20:R20))</f>
        <v>0.25825197794281363</v>
      </c>
      <c r="D22" s="409"/>
    </row>
    <row r="23" spans="1:18" ht="14.25" thickTop="1" x14ac:dyDescent="0.25"/>
    <row r="25" spans="1:18" ht="15" x14ac:dyDescent="0.25">
      <c r="A25" t="s">
        <v>264</v>
      </c>
      <c r="B25" s="266" t="s">
        <v>265</v>
      </c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65"/>
      <c r="Q25" s="265"/>
      <c r="R25" s="265"/>
    </row>
    <row r="27" spans="1:18" x14ac:dyDescent="0.25">
      <c r="C27" s="307" t="s">
        <v>61</v>
      </c>
    </row>
    <row r="28" spans="1:18" x14ac:dyDescent="0.25">
      <c r="C28" s="306">
        <v>0</v>
      </c>
      <c r="D28" s="306">
        <f>C28+1</f>
        <v>1</v>
      </c>
      <c r="E28" s="306">
        <f t="shared" ref="E28:N28" si="4">D28+1</f>
        <v>2</v>
      </c>
      <c r="F28" s="306">
        <f t="shared" si="4"/>
        <v>3</v>
      </c>
      <c r="G28" s="306">
        <f t="shared" si="4"/>
        <v>4</v>
      </c>
      <c r="H28" s="306">
        <f t="shared" si="4"/>
        <v>5</v>
      </c>
      <c r="I28" s="306">
        <f t="shared" si="4"/>
        <v>6</v>
      </c>
      <c r="J28" s="306">
        <f t="shared" si="4"/>
        <v>7</v>
      </c>
      <c r="K28" s="306">
        <f t="shared" si="4"/>
        <v>8</v>
      </c>
      <c r="L28" s="306">
        <f t="shared" si="4"/>
        <v>9</v>
      </c>
      <c r="M28" s="306">
        <f t="shared" si="4"/>
        <v>10</v>
      </c>
      <c r="N28" s="306">
        <f t="shared" si="4"/>
        <v>11</v>
      </c>
      <c r="O28" s="306">
        <f t="shared" ref="O28:R28" si="5">N28+1</f>
        <v>12</v>
      </c>
      <c r="P28" s="306">
        <f t="shared" si="5"/>
        <v>13</v>
      </c>
      <c r="Q28" s="306">
        <f t="shared" si="5"/>
        <v>14</v>
      </c>
      <c r="R28" s="306">
        <f t="shared" si="5"/>
        <v>15</v>
      </c>
    </row>
    <row r="29" spans="1:18" x14ac:dyDescent="0.25">
      <c r="B29" t="s">
        <v>197</v>
      </c>
      <c r="C29" s="302">
        <f>'2.Dashboard'!$H$28</f>
        <v>2430000</v>
      </c>
      <c r="D29" s="302">
        <f>C31</f>
        <v>2430000</v>
      </c>
      <c r="E29" s="302">
        <f t="shared" ref="E29:J29" si="6">D31</f>
        <v>2409700.6552624172</v>
      </c>
      <c r="F29" s="302">
        <f t="shared" si="6"/>
        <v>2387716.4749230985</v>
      </c>
      <c r="G29" s="302">
        <f t="shared" si="6"/>
        <v>2363907.618458048</v>
      </c>
      <c r="H29" s="302">
        <f t="shared" si="6"/>
        <v>2338122.6386487479</v>
      </c>
      <c r="I29" s="302">
        <f t="shared" si="6"/>
        <v>2310197.5182322352</v>
      </c>
      <c r="J29" s="302">
        <f t="shared" si="6"/>
        <v>2279954.6265936107</v>
      </c>
      <c r="K29" s="302">
        <f t="shared" ref="K29:N29" si="7">J31</f>
        <v>2247201.5898645469</v>
      </c>
      <c r="L29" s="302">
        <f t="shared" si="7"/>
        <v>2211730.0672405232</v>
      </c>
      <c r="M29" s="302">
        <f t="shared" si="7"/>
        <v>2173314.4257329935</v>
      </c>
      <c r="N29" s="302">
        <f t="shared" si="7"/>
        <v>2131710.304926645</v>
      </c>
      <c r="O29" s="302">
        <f t="shared" ref="O29:R29" si="8">N31</f>
        <v>2086653.0626122102</v>
      </c>
      <c r="P29" s="302">
        <f t="shared" si="8"/>
        <v>2037856.0914075677</v>
      </c>
      <c r="Q29" s="302">
        <f t="shared" si="8"/>
        <v>1985008.9956592398</v>
      </c>
      <c r="R29" s="302">
        <f t="shared" si="8"/>
        <v>1927775.6170275917</v>
      </c>
    </row>
    <row r="30" spans="1:18" x14ac:dyDescent="0.25">
      <c r="B30" t="s">
        <v>198</v>
      </c>
      <c r="C30" s="303">
        <v>0</v>
      </c>
      <c r="D30" s="305">
        <f>-SUMIF('6. Snr. Debt Amortiz. Schedule'!$B$15:$B$374,'3. Analysis'!D$28,'6. Snr. Debt Amortiz. Schedule'!$H$15:$H$374)</f>
        <v>-20299.34473758284</v>
      </c>
      <c r="E30" s="305">
        <f>-SUMIF('6. Snr. Debt Amortiz. Schedule'!$B$15:$B$374,'3. Analysis'!E$28,'6. Snr. Debt Amortiz. Schedule'!$H$15:$H$374)</f>
        <v>-21984.1803393187</v>
      </c>
      <c r="F30" s="305">
        <f>-SUMIF('6. Snr. Debt Amortiz. Schedule'!$B$15:$B$374,'3. Analysis'!F$28,'6. Snr. Debt Amortiz. Schedule'!$H$15:$H$374)</f>
        <v>-23808.856465050485</v>
      </c>
      <c r="G30" s="305">
        <f>-SUMIF('6. Snr. Debt Amortiz. Schedule'!$B$15:$B$374,'3. Analysis'!G$28,'6. Snr. Debt Amortiz. Schedule'!$H$15:$H$374)</f>
        <v>-25784.979809300043</v>
      </c>
      <c r="H30" s="305">
        <f>-SUMIF('6. Snr. Debt Amortiz. Schedule'!$B$15:$B$374,'3. Analysis'!H$28,'6. Snr. Debt Amortiz. Schedule'!$H$15:$H$374)</f>
        <v>-27925.120416512713</v>
      </c>
      <c r="I30" s="305">
        <f>-SUMIF('6. Snr. Debt Amortiz. Schedule'!$B$15:$B$374,'3. Analysis'!I$28,'6. Snr. Debt Amortiz. Schedule'!$H$15:$H$374)</f>
        <v>-30242.891638624482</v>
      </c>
      <c r="J30" s="305">
        <f>-SUMIF('6. Snr. Debt Amortiz. Schedule'!$B$15:$B$374,'3. Analysis'!J$28,'6. Snr. Debt Amortiz. Schedule'!$H$15:$H$374)</f>
        <v>-32753.036729063839</v>
      </c>
      <c r="K30" s="305">
        <f>-SUMIF('6. Snr. Debt Amortiz. Schedule'!$B$15:$B$374,'3. Analysis'!K$28,'6. Snr. Debt Amortiz. Schedule'!$H$15:$H$374)</f>
        <v>-35471.522624023724</v>
      </c>
      <c r="L30" s="305">
        <f>-SUMIF('6. Snr. Debt Amortiz. Schedule'!$B$15:$B$374,'3. Analysis'!L$28,'6. Snr. Debt Amortiz. Schedule'!$H$15:$H$374)</f>
        <v>-38415.641507529654</v>
      </c>
      <c r="M30" s="305">
        <f>-SUMIF('6. Snr. Debt Amortiz. Schedule'!$B$15:$B$374,'3. Analysis'!M$28,'6. Snr. Debt Amortiz. Schedule'!$H$15:$H$374)</f>
        <v>-41604.12080634851</v>
      </c>
      <c r="N30" s="305">
        <f>-SUMIF('6. Snr. Debt Amortiz. Schedule'!$B$15:$B$374,'3. Analysis'!N$28,'6. Snr. Debt Amortiz. Schedule'!$H$15:$H$374)</f>
        <v>-45057.242314434843</v>
      </c>
      <c r="O30" s="305">
        <f>-SUMIF('6. Snr. Debt Amortiz. Schedule'!$B$15:$B$374,'3. Analysis'!O$28,'6. Snr. Debt Amortiz. Schedule'!$H$15:$H$374)</f>
        <v>-48796.971204642439</v>
      </c>
      <c r="P30" s="305">
        <f>-SUMIF('6. Snr. Debt Amortiz. Schedule'!$B$15:$B$374,'3. Analysis'!P$28,'6. Snr. Debt Amortiz. Schedule'!$H$15:$H$374)</f>
        <v>-52847.095748327905</v>
      </c>
      <c r="Q30" s="305">
        <f>-SUMIF('6. Snr. Debt Amortiz. Schedule'!$B$15:$B$374,'3. Analysis'!Q$28,'6. Snr. Debt Amortiz. Schedule'!$H$15:$H$374)</f>
        <v>-57233.378631648142</v>
      </c>
      <c r="R30" s="305">
        <f>-SUMIF('6. Snr. Debt Amortiz. Schedule'!$B$15:$B$374,'3. Analysis'!R$28,'6. Snr. Debt Amortiz. Schedule'!$H$15:$H$374)</f>
        <v>-61983.720831002342</v>
      </c>
    </row>
    <row r="31" spans="1:18" x14ac:dyDescent="0.25">
      <c r="B31" s="267" t="s">
        <v>107</v>
      </c>
      <c r="C31" s="304">
        <f>SUM(C29:C30)</f>
        <v>2430000</v>
      </c>
      <c r="D31" s="304">
        <f t="shared" ref="D31" si="9">SUM(D29:D30)</f>
        <v>2409700.6552624172</v>
      </c>
      <c r="E31" s="304">
        <f t="shared" ref="E31" si="10">SUM(E29:E30)</f>
        <v>2387716.4749230985</v>
      </c>
      <c r="F31" s="304">
        <f t="shared" ref="F31" si="11">SUM(F29:F30)</f>
        <v>2363907.618458048</v>
      </c>
      <c r="G31" s="304">
        <f t="shared" ref="G31" si="12">SUM(G29:G30)</f>
        <v>2338122.6386487479</v>
      </c>
      <c r="H31" s="304">
        <f t="shared" ref="H31" si="13">SUM(H29:H30)</f>
        <v>2310197.5182322352</v>
      </c>
      <c r="I31" s="304">
        <f t="shared" ref="I31" si="14">SUM(I29:I30)</f>
        <v>2279954.6265936107</v>
      </c>
      <c r="J31" s="304">
        <f t="shared" ref="J31" si="15">SUM(J29:J30)</f>
        <v>2247201.5898645469</v>
      </c>
      <c r="K31" s="304">
        <f t="shared" ref="K31" si="16">SUM(K29:K30)</f>
        <v>2211730.0672405232</v>
      </c>
      <c r="L31" s="304">
        <f t="shared" ref="L31" si="17">SUM(L29:L30)</f>
        <v>2173314.4257329935</v>
      </c>
      <c r="M31" s="304">
        <f t="shared" ref="M31" si="18">SUM(M29:M30)</f>
        <v>2131710.304926645</v>
      </c>
      <c r="N31" s="304">
        <f t="shared" ref="N31" si="19">SUM(N29:N30)</f>
        <v>2086653.0626122102</v>
      </c>
      <c r="O31" s="304">
        <f t="shared" ref="O31" si="20">SUM(O29:O30)</f>
        <v>2037856.0914075677</v>
      </c>
      <c r="P31" s="304">
        <f t="shared" ref="P31" si="21">SUM(P29:P30)</f>
        <v>1985008.9956592398</v>
      </c>
      <c r="Q31" s="304">
        <f t="shared" ref="Q31" si="22">SUM(Q29:Q30)</f>
        <v>1927775.6170275917</v>
      </c>
      <c r="R31" s="304">
        <f t="shared" ref="R31" si="23">SUM(R29:R30)</f>
        <v>1865791.8961965893</v>
      </c>
    </row>
    <row r="35" spans="1:18" ht="15" x14ac:dyDescent="0.25">
      <c r="A35" t="s">
        <v>264</v>
      </c>
      <c r="B35" s="266" t="s">
        <v>227</v>
      </c>
      <c r="C35" s="265"/>
      <c r="D35" s="265"/>
      <c r="E35" s="265"/>
      <c r="F35" s="265"/>
      <c r="G35" s="265"/>
      <c r="H35" s="265"/>
      <c r="I35" s="265"/>
      <c r="J35" s="265"/>
      <c r="K35" s="265"/>
      <c r="L35" s="265"/>
      <c r="M35" s="265"/>
      <c r="N35" s="265"/>
      <c r="O35" s="265"/>
      <c r="P35" s="265"/>
      <c r="Q35" s="265"/>
      <c r="R35" s="265"/>
    </row>
    <row r="36" spans="1:18" s="421" customFormat="1" ht="15" x14ac:dyDescent="0.25">
      <c r="B36" s="419"/>
      <c r="C36" s="420"/>
      <c r="D36" s="420"/>
      <c r="E36" s="420"/>
      <c r="F36" s="420"/>
      <c r="G36" s="420"/>
      <c r="H36" s="420"/>
      <c r="I36" s="420"/>
      <c r="J36" s="420"/>
      <c r="K36" s="420"/>
      <c r="L36" s="420"/>
      <c r="M36" s="420"/>
      <c r="N36" s="420"/>
      <c r="O36" s="420"/>
      <c r="P36" s="420"/>
      <c r="Q36" s="420"/>
      <c r="R36" s="420"/>
    </row>
    <row r="37" spans="1:18" x14ac:dyDescent="0.25">
      <c r="E37" s="417" t="s">
        <v>263</v>
      </c>
      <c r="F37" s="418"/>
      <c r="G37" s="418"/>
      <c r="H37" s="418"/>
      <c r="I37" s="418"/>
      <c r="J37" s="418"/>
      <c r="K37" s="418"/>
      <c r="L37" s="418"/>
    </row>
    <row r="38" spans="1:18" ht="15" x14ac:dyDescent="0.25">
      <c r="B38" s="366" t="s">
        <v>259</v>
      </c>
      <c r="C38" s="377">
        <f>_xlfn.XLOOKUP(-$C$13,$C$55:$C$59,$K$55:$K$59)</f>
        <v>7.9914814814814827E-2</v>
      </c>
      <c r="E38" s="416" t="s">
        <v>261</v>
      </c>
    </row>
    <row r="39" spans="1:18" ht="15" x14ac:dyDescent="0.25">
      <c r="B39" s="366" t="s">
        <v>258</v>
      </c>
      <c r="C39" s="378">
        <f>C20+NPV(C38,D20:R20)</f>
        <v>962671.68951115757</v>
      </c>
      <c r="E39" s="416" t="s">
        <v>257</v>
      </c>
    </row>
    <row r="40" spans="1:18" ht="15" x14ac:dyDescent="0.25">
      <c r="B40" s="366" t="s">
        <v>260</v>
      </c>
      <c r="C40" s="398">
        <f>$C$22</f>
        <v>0.25825197794281363</v>
      </c>
      <c r="E40" s="416" t="s">
        <v>262</v>
      </c>
    </row>
    <row r="41" spans="1:18" x14ac:dyDescent="0.25">
      <c r="B41" s="366"/>
      <c r="C41" s="398"/>
      <c r="E41" s="416"/>
    </row>
    <row r="43" spans="1:18" ht="17.25" thickBot="1" x14ac:dyDescent="0.35">
      <c r="B43" s="367" t="s">
        <v>239</v>
      </c>
      <c r="C43" s="347"/>
      <c r="D43" s="347"/>
      <c r="E43" s="368"/>
      <c r="G43" s="367" t="s">
        <v>243</v>
      </c>
      <c r="H43" s="347"/>
      <c r="I43" s="372"/>
      <c r="J43" s="368"/>
    </row>
    <row r="44" spans="1:18" ht="16.5" x14ac:dyDescent="0.3">
      <c r="B44" s="369"/>
      <c r="C44" s="369"/>
      <c r="D44" s="370"/>
      <c r="E44" s="369"/>
      <c r="G44" s="369"/>
      <c r="H44" s="369"/>
      <c r="I44" s="369"/>
      <c r="J44" s="369"/>
    </row>
    <row r="45" spans="1:18" ht="16.5" x14ac:dyDescent="0.3">
      <c r="B45" s="371" t="s">
        <v>240</v>
      </c>
      <c r="C45" s="372"/>
      <c r="D45" s="347"/>
      <c r="E45" s="413">
        <v>4.5499999999999999E-2</v>
      </c>
      <c r="G45" s="367" t="s">
        <v>244</v>
      </c>
      <c r="H45" s="347"/>
      <c r="I45" s="373" t="s">
        <v>245</v>
      </c>
      <c r="J45" s="373" t="s">
        <v>246</v>
      </c>
    </row>
    <row r="46" spans="1:18" ht="16.5" x14ac:dyDescent="0.3">
      <c r="B46" s="371" t="s">
        <v>241</v>
      </c>
      <c r="C46" s="372"/>
      <c r="D46" s="347"/>
      <c r="E46" s="413">
        <v>0.04</v>
      </c>
      <c r="G46" s="400" t="s">
        <v>247</v>
      </c>
      <c r="H46" s="401"/>
      <c r="I46" s="402">
        <f>_xlfn.XLOOKUP(-$C$13,$C$55:$C$59,$F$55:$F$59)</f>
        <v>0.84907407407407409</v>
      </c>
      <c r="J46" s="403">
        <f>_xlfn.XLOOKUP($I$46,$F$55:$F$59,$G$55:$G$59)</f>
        <v>7.7499999999999999E-2</v>
      </c>
    </row>
    <row r="47" spans="1:18" ht="16.5" x14ac:dyDescent="0.3">
      <c r="B47" s="371" t="s">
        <v>242</v>
      </c>
      <c r="C47" s="372"/>
      <c r="D47" s="347"/>
      <c r="E47" s="375">
        <f>SUM(E45:E46)</f>
        <v>8.5499999999999993E-2</v>
      </c>
      <c r="G47" s="404" t="s">
        <v>248</v>
      </c>
      <c r="H47" s="405"/>
      <c r="I47" s="406">
        <f>_xlfn.XLOOKUP(-$C$13,$C$55:$C$59,$I$55:$I$59)</f>
        <v>0.15092592592592594</v>
      </c>
      <c r="J47" s="407">
        <f>_xlfn.XLOOKUP($I$46,$F$55:$F$59,$J$55:$J$59)</f>
        <v>9.35E-2</v>
      </c>
    </row>
    <row r="49" spans="1:11" ht="16.5" x14ac:dyDescent="0.3">
      <c r="C49" s="371"/>
      <c r="D49" s="372"/>
      <c r="E49" s="347"/>
      <c r="F49" s="374"/>
    </row>
    <row r="51" spans="1:11" ht="17.25" thickBot="1" x14ac:dyDescent="0.35">
      <c r="A51" t="s">
        <v>264</v>
      </c>
      <c r="B51" s="343" t="s">
        <v>228</v>
      </c>
      <c r="C51" s="343"/>
      <c r="D51" s="344"/>
      <c r="E51" s="344"/>
      <c r="F51" s="345"/>
      <c r="G51" s="345"/>
      <c r="H51" s="344"/>
      <c r="I51" s="344"/>
      <c r="J51" s="344"/>
      <c r="K51" s="344"/>
    </row>
    <row r="52" spans="1:11" ht="16.5" x14ac:dyDescent="0.3">
      <c r="C52" s="346"/>
      <c r="D52" s="346"/>
      <c r="E52" s="346"/>
      <c r="F52" s="346"/>
      <c r="G52" s="347"/>
      <c r="H52" s="347"/>
      <c r="I52" s="347"/>
      <c r="J52" s="347"/>
      <c r="K52" s="347"/>
    </row>
    <row r="53" spans="1:11" ht="16.5" x14ac:dyDescent="0.3">
      <c r="B53" s="379"/>
      <c r="C53" s="348" t="s">
        <v>229</v>
      </c>
      <c r="D53" s="349"/>
      <c r="E53" s="350"/>
      <c r="F53" s="348" t="s">
        <v>230</v>
      </c>
      <c r="G53" s="351"/>
      <c r="H53" s="352"/>
      <c r="I53" s="348" t="s">
        <v>231</v>
      </c>
      <c r="J53" s="351"/>
      <c r="K53" s="353"/>
    </row>
    <row r="54" spans="1:11" ht="15" x14ac:dyDescent="0.25">
      <c r="B54" s="380" t="s">
        <v>249</v>
      </c>
      <c r="C54" s="354" t="s">
        <v>253</v>
      </c>
      <c r="D54" s="354" t="s">
        <v>232</v>
      </c>
      <c r="E54" s="355" t="s">
        <v>71</v>
      </c>
      <c r="F54" s="354" t="s">
        <v>233</v>
      </c>
      <c r="G54" s="354" t="s">
        <v>234</v>
      </c>
      <c r="H54" s="355" t="s">
        <v>235</v>
      </c>
      <c r="I54" s="354" t="s">
        <v>236</v>
      </c>
      <c r="J54" s="354" t="s">
        <v>237</v>
      </c>
      <c r="K54" s="356" t="s">
        <v>238</v>
      </c>
    </row>
    <row r="55" spans="1:11" ht="15" x14ac:dyDescent="0.3">
      <c r="B55" s="381">
        <v>0.05</v>
      </c>
      <c r="C55" s="376">
        <f>(B55*E55)+'2.Dashboard'!$D$45+'2.Dashboard'!$H$15+'2.Dashboard'!$H$18</f>
        <v>272500</v>
      </c>
      <c r="D55" s="357">
        <f>E55-C55</f>
        <v>2427500</v>
      </c>
      <c r="E55" s="358">
        <f>'2.Dashboard'!$D$38</f>
        <v>2700000</v>
      </c>
      <c r="F55" s="359">
        <f>D55/$E55</f>
        <v>0.89907407407407403</v>
      </c>
      <c r="G55" s="384">
        <v>0.08</v>
      </c>
      <c r="H55" s="360">
        <f>G55*(1-$F$73)</f>
        <v>0.08</v>
      </c>
      <c r="I55" s="359">
        <f>C55/$E55</f>
        <v>0.10092592592592593</v>
      </c>
      <c r="J55" s="360">
        <v>9.35E-2</v>
      </c>
      <c r="K55" s="361">
        <f>F55*H55+I55*J55</f>
        <v>8.136249999999999E-2</v>
      </c>
    </row>
    <row r="56" spans="1:11" ht="15" x14ac:dyDescent="0.3">
      <c r="B56" s="381">
        <v>0.1</v>
      </c>
      <c r="C56" s="376">
        <f>(B56*E56)+'2.Dashboard'!$D$45+'2.Dashboard'!$H$15+'2.Dashboard'!$H$18</f>
        <v>407500</v>
      </c>
      <c r="D56" s="357">
        <f>E56-C56</f>
        <v>2292500</v>
      </c>
      <c r="E56" s="358">
        <f>'2.Dashboard'!$D$38</f>
        <v>2700000</v>
      </c>
      <c r="F56" s="359">
        <f t="shared" ref="F56:F59" si="24">D56/$E56</f>
        <v>0.84907407407407409</v>
      </c>
      <c r="G56" s="384">
        <v>7.7499999999999999E-2</v>
      </c>
      <c r="H56" s="360">
        <f>G56*(1-$F$73)</f>
        <v>7.7499999999999999E-2</v>
      </c>
      <c r="I56" s="359">
        <f t="shared" ref="I56:I59" si="25">C56/$E56</f>
        <v>0.15092592592592594</v>
      </c>
      <c r="J56" s="360">
        <v>9.35E-2</v>
      </c>
      <c r="K56" s="361">
        <f t="shared" ref="K56:K59" si="26">F56*H56+I56*J56</f>
        <v>7.9914814814814827E-2</v>
      </c>
    </row>
    <row r="57" spans="1:11" ht="15" x14ac:dyDescent="0.3">
      <c r="B57" s="381">
        <v>0.15</v>
      </c>
      <c r="C57" s="376">
        <f>(B57*E57)+'2.Dashboard'!$D$45+'2.Dashboard'!$H$15+'2.Dashboard'!$H$18</f>
        <v>542500</v>
      </c>
      <c r="D57" s="357">
        <f>E57-C57</f>
        <v>2157500</v>
      </c>
      <c r="E57" s="358">
        <f>'2.Dashboard'!$D$38</f>
        <v>2700000</v>
      </c>
      <c r="F57" s="359">
        <f t="shared" si="24"/>
        <v>0.79907407407407405</v>
      </c>
      <c r="G57" s="384">
        <v>7.7499999999999999E-2</v>
      </c>
      <c r="H57" s="360">
        <f>G57*(1-$F$73)</f>
        <v>7.7499999999999999E-2</v>
      </c>
      <c r="I57" s="359">
        <f t="shared" si="25"/>
        <v>0.20092592592592592</v>
      </c>
      <c r="J57" s="360">
        <v>9.35E-2</v>
      </c>
      <c r="K57" s="361">
        <f t="shared" si="26"/>
        <v>8.0714814814814809E-2</v>
      </c>
    </row>
    <row r="58" spans="1:11" ht="15" x14ac:dyDescent="0.3">
      <c r="B58" s="381">
        <v>0.2</v>
      </c>
      <c r="C58" s="376">
        <f>(B58*E58)+'2.Dashboard'!$D$45+'2.Dashboard'!$H$15+'2.Dashboard'!$H$18</f>
        <v>677500</v>
      </c>
      <c r="D58" s="357">
        <f>E58-C58</f>
        <v>2022500</v>
      </c>
      <c r="E58" s="358">
        <f>'2.Dashboard'!$D$38</f>
        <v>2700000</v>
      </c>
      <c r="F58" s="359">
        <f t="shared" si="24"/>
        <v>0.74907407407407411</v>
      </c>
      <c r="G58" s="384">
        <v>7.7499999999999999E-2</v>
      </c>
      <c r="H58" s="360">
        <f>G58*(1-$F$73)</f>
        <v>7.7499999999999999E-2</v>
      </c>
      <c r="I58" s="359">
        <f t="shared" si="25"/>
        <v>0.25092592592592594</v>
      </c>
      <c r="J58" s="360">
        <v>9.35E-2</v>
      </c>
      <c r="K58" s="361">
        <f t="shared" si="26"/>
        <v>8.1514814814814818E-2</v>
      </c>
    </row>
    <row r="59" spans="1:11" ht="15" x14ac:dyDescent="0.3">
      <c r="B59" s="381">
        <v>0.25</v>
      </c>
      <c r="C59" s="376">
        <f>(B59*E59)+'2.Dashboard'!$D$45+'2.Dashboard'!$H$15+'2.Dashboard'!$H$18</f>
        <v>812500</v>
      </c>
      <c r="D59" s="357">
        <f>E59-C59</f>
        <v>1887500</v>
      </c>
      <c r="E59" s="358">
        <f>'2.Dashboard'!$D$38</f>
        <v>2700000</v>
      </c>
      <c r="F59" s="359">
        <f t="shared" si="24"/>
        <v>0.69907407407407407</v>
      </c>
      <c r="G59" s="384">
        <v>7.4999999999999997E-2</v>
      </c>
      <c r="H59" s="360">
        <f>G59*(1-$F$73)</f>
        <v>7.4999999999999997E-2</v>
      </c>
      <c r="I59" s="359">
        <f t="shared" si="25"/>
        <v>0.30092592592592593</v>
      </c>
      <c r="J59" s="360">
        <v>9.35E-2</v>
      </c>
      <c r="K59" s="361">
        <f t="shared" si="26"/>
        <v>8.0567129629629627E-2</v>
      </c>
    </row>
    <row r="60" spans="1:11" ht="16.5" x14ac:dyDescent="0.3">
      <c r="C60" s="362"/>
      <c r="D60" s="363"/>
      <c r="E60" s="362"/>
      <c r="F60" s="364"/>
      <c r="G60" s="365"/>
      <c r="H60" s="347"/>
      <c r="I60" s="347"/>
      <c r="J60" s="347"/>
      <c r="K60" s="347"/>
    </row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A3FA0-E6D3-4716-8531-C97A348ED8F3}">
  <dimension ref="B4:S55"/>
  <sheetViews>
    <sheetView showGridLines="0" zoomScale="85" zoomScaleNormal="85" workbookViewId="0">
      <pane xSplit="2" ySplit="9" topLeftCell="C30" activePane="bottomRight" state="frozen"/>
      <selection pane="topRight" activeCell="C1" sqref="C1"/>
      <selection pane="bottomLeft" activeCell="A10" sqref="A10"/>
      <selection pane="bottomRight" activeCell="E36" sqref="E36"/>
    </sheetView>
  </sheetViews>
  <sheetFormatPr defaultColWidth="8.85546875" defaultRowHeight="13.5" x14ac:dyDescent="0.25"/>
  <cols>
    <col min="1" max="1" width="2.85546875" style="60" customWidth="1"/>
    <col min="2" max="2" width="32.7109375" style="60" bestFit="1" customWidth="1"/>
    <col min="3" max="3" width="8.85546875" style="60"/>
    <col min="4" max="4" width="11" style="60" bestFit="1" customWidth="1"/>
    <col min="5" max="16" width="12.42578125" style="60" bestFit="1" customWidth="1"/>
    <col min="17" max="17" width="15.7109375" style="60" customWidth="1"/>
    <col min="18" max="18" width="11" style="60" bestFit="1" customWidth="1"/>
    <col min="19" max="19" width="12" style="60" bestFit="1" customWidth="1"/>
    <col min="20" max="16384" width="8.85546875" style="60"/>
  </cols>
  <sheetData>
    <row r="4" spans="2:17" ht="14.25" thickBot="1" x14ac:dyDescent="0.3"/>
    <row r="5" spans="2:17" ht="17.25" thickBot="1" x14ac:dyDescent="0.3">
      <c r="B5" s="23" t="s">
        <v>134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5"/>
    </row>
    <row r="7" spans="2:17" ht="14.25" thickBot="1" x14ac:dyDescent="0.3">
      <c r="E7" s="93">
        <v>1</v>
      </c>
      <c r="F7" s="93">
        <f t="shared" ref="F7:P7" si="0">E7+1</f>
        <v>2</v>
      </c>
      <c r="G7" s="93">
        <f t="shared" si="0"/>
        <v>3</v>
      </c>
      <c r="H7" s="93">
        <f t="shared" si="0"/>
        <v>4</v>
      </c>
      <c r="I7" s="93">
        <f t="shared" si="0"/>
        <v>5</v>
      </c>
      <c r="J7" s="93">
        <f t="shared" si="0"/>
        <v>6</v>
      </c>
      <c r="K7" s="93">
        <f t="shared" si="0"/>
        <v>7</v>
      </c>
      <c r="L7" s="93">
        <f t="shared" si="0"/>
        <v>8</v>
      </c>
      <c r="M7" s="93">
        <f t="shared" si="0"/>
        <v>9</v>
      </c>
      <c r="N7" s="93">
        <f t="shared" si="0"/>
        <v>10</v>
      </c>
      <c r="O7" s="93">
        <f t="shared" si="0"/>
        <v>11</v>
      </c>
      <c r="P7" s="93">
        <f t="shared" si="0"/>
        <v>12</v>
      </c>
    </row>
    <row r="8" spans="2:17" x14ac:dyDescent="0.25">
      <c r="B8" s="79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3"/>
    </row>
    <row r="9" spans="2:17" ht="14.25" thickBot="1" x14ac:dyDescent="0.3">
      <c r="B9" s="80" t="s">
        <v>73</v>
      </c>
      <c r="C9" s="67"/>
      <c r="D9" s="81" t="s">
        <v>135</v>
      </c>
      <c r="E9" s="82">
        <f>'2.Dashboard'!$D$20</f>
        <v>45748</v>
      </c>
      <c r="F9" s="82">
        <f t="shared" ref="F9:P9" si="1">EOMONTH(E9,1)</f>
        <v>45808</v>
      </c>
      <c r="G9" s="82">
        <f t="shared" si="1"/>
        <v>45838</v>
      </c>
      <c r="H9" s="82">
        <f t="shared" si="1"/>
        <v>45869</v>
      </c>
      <c r="I9" s="82">
        <f t="shared" si="1"/>
        <v>45900</v>
      </c>
      <c r="J9" s="82">
        <f t="shared" si="1"/>
        <v>45930</v>
      </c>
      <c r="K9" s="82">
        <f t="shared" si="1"/>
        <v>45961</v>
      </c>
      <c r="L9" s="82">
        <f t="shared" si="1"/>
        <v>45991</v>
      </c>
      <c r="M9" s="82">
        <f t="shared" si="1"/>
        <v>46022</v>
      </c>
      <c r="N9" s="82">
        <f t="shared" si="1"/>
        <v>46053</v>
      </c>
      <c r="O9" s="82">
        <f t="shared" si="1"/>
        <v>46081</v>
      </c>
      <c r="P9" s="82">
        <f t="shared" si="1"/>
        <v>46112</v>
      </c>
      <c r="Q9" s="292" t="s">
        <v>214</v>
      </c>
    </row>
    <row r="11" spans="2:17" x14ac:dyDescent="0.25">
      <c r="B11" s="68" t="s">
        <v>74</v>
      </c>
    </row>
    <row r="12" spans="2:17" x14ac:dyDescent="0.25">
      <c r="B12" s="69" t="s">
        <v>75</v>
      </c>
      <c r="D12" s="83">
        <v>0</v>
      </c>
      <c r="E12" s="84">
        <f>'2.Dashboard'!$D$30</f>
        <v>35000</v>
      </c>
      <c r="F12" s="84">
        <f>'2.Dashboard'!$D$30</f>
        <v>35000</v>
      </c>
      <c r="G12" s="84">
        <f>'2.Dashboard'!$D$30</f>
        <v>35000</v>
      </c>
      <c r="H12" s="84">
        <f>'2.Dashboard'!$D$30</f>
        <v>35000</v>
      </c>
      <c r="I12" s="84">
        <f>'2.Dashboard'!$D$30</f>
        <v>35000</v>
      </c>
      <c r="J12" s="84">
        <f>'2.Dashboard'!$D$30</f>
        <v>35000</v>
      </c>
      <c r="K12" s="84">
        <f>'2.Dashboard'!$D$30</f>
        <v>35000</v>
      </c>
      <c r="L12" s="84">
        <f>'2.Dashboard'!$D$30</f>
        <v>35000</v>
      </c>
      <c r="M12" s="84">
        <f>'2.Dashboard'!$D$30</f>
        <v>35000</v>
      </c>
      <c r="N12" s="84">
        <f>'2.Dashboard'!$D$30</f>
        <v>35000</v>
      </c>
      <c r="O12" s="84">
        <f>'2.Dashboard'!$D$30</f>
        <v>35000</v>
      </c>
      <c r="P12" s="84">
        <f>'2.Dashboard'!$D$30</f>
        <v>35000</v>
      </c>
      <c r="Q12" s="84">
        <f>SUM($E12:$P12)</f>
        <v>420000</v>
      </c>
    </row>
    <row r="13" spans="2:17" x14ac:dyDescent="0.25">
      <c r="B13" s="69" t="s">
        <v>99</v>
      </c>
      <c r="D13" s="83">
        <v>0</v>
      </c>
      <c r="E13" s="84">
        <f>-'2.Dashboard'!$D$24*'4. First Yr. Cash Flow Schedule'!E$12</f>
        <v>-1750</v>
      </c>
      <c r="F13" s="84">
        <f>-'2.Dashboard'!$D$24*'4. First Yr. Cash Flow Schedule'!F$12</f>
        <v>-1750</v>
      </c>
      <c r="G13" s="84">
        <f>-'2.Dashboard'!$D$24*'4. First Yr. Cash Flow Schedule'!G$12</f>
        <v>-1750</v>
      </c>
      <c r="H13" s="84">
        <f>-'2.Dashboard'!$D$24*'4. First Yr. Cash Flow Schedule'!H$12</f>
        <v>-1750</v>
      </c>
      <c r="I13" s="84">
        <f>-'2.Dashboard'!$D$24*'4. First Yr. Cash Flow Schedule'!I$12</f>
        <v>-1750</v>
      </c>
      <c r="J13" s="84">
        <f>-'2.Dashboard'!$D$24*'4. First Yr. Cash Flow Schedule'!J$12</f>
        <v>-1750</v>
      </c>
      <c r="K13" s="84">
        <f>-'2.Dashboard'!$D$24*'4. First Yr. Cash Flow Schedule'!K$12</f>
        <v>-1750</v>
      </c>
      <c r="L13" s="84">
        <f>-'2.Dashboard'!$D$24*'4. First Yr. Cash Flow Schedule'!L$12</f>
        <v>-1750</v>
      </c>
      <c r="M13" s="84">
        <f>-'2.Dashboard'!$D$24*'4. First Yr. Cash Flow Schedule'!M$12</f>
        <v>-1750</v>
      </c>
      <c r="N13" s="84">
        <f>-'2.Dashboard'!$D$24*'4. First Yr. Cash Flow Schedule'!N$12</f>
        <v>-1750</v>
      </c>
      <c r="O13" s="84">
        <f>-'2.Dashboard'!$D$24*'4. First Yr. Cash Flow Schedule'!O$12</f>
        <v>-1750</v>
      </c>
      <c r="P13" s="84">
        <f>-'2.Dashboard'!$D$24*'4. First Yr. Cash Flow Schedule'!P$12</f>
        <v>-1750</v>
      </c>
      <c r="Q13" s="84">
        <f>SUM($E13:$P13)</f>
        <v>-21000</v>
      </c>
    </row>
    <row r="14" spans="2:17" x14ac:dyDescent="0.25">
      <c r="B14" s="69" t="s">
        <v>76</v>
      </c>
      <c r="D14" s="83">
        <v>0</v>
      </c>
      <c r="E14" s="84">
        <v>0</v>
      </c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</row>
    <row r="15" spans="2:17" x14ac:dyDescent="0.25">
      <c r="B15" s="69" t="s">
        <v>77</v>
      </c>
      <c r="D15" s="83">
        <v>0</v>
      </c>
      <c r="E15" s="84">
        <v>0</v>
      </c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</row>
    <row r="16" spans="2:17" x14ac:dyDescent="0.25">
      <c r="B16" s="70" t="s">
        <v>78</v>
      </c>
      <c r="C16" s="71"/>
      <c r="D16" s="85">
        <f t="shared" ref="D16:P16" si="2">SUM(D12:D15)</f>
        <v>0</v>
      </c>
      <c r="E16" s="85">
        <f t="shared" si="2"/>
        <v>33250</v>
      </c>
      <c r="F16" s="85">
        <f t="shared" si="2"/>
        <v>33250</v>
      </c>
      <c r="G16" s="85">
        <f t="shared" si="2"/>
        <v>33250</v>
      </c>
      <c r="H16" s="85">
        <f t="shared" si="2"/>
        <v>33250</v>
      </c>
      <c r="I16" s="85">
        <f t="shared" si="2"/>
        <v>33250</v>
      </c>
      <c r="J16" s="85">
        <f t="shared" si="2"/>
        <v>33250</v>
      </c>
      <c r="K16" s="85">
        <f t="shared" si="2"/>
        <v>33250</v>
      </c>
      <c r="L16" s="85">
        <f t="shared" si="2"/>
        <v>33250</v>
      </c>
      <c r="M16" s="85">
        <f t="shared" si="2"/>
        <v>33250</v>
      </c>
      <c r="N16" s="85">
        <f t="shared" si="2"/>
        <v>33250</v>
      </c>
      <c r="O16" s="85">
        <f t="shared" si="2"/>
        <v>33250</v>
      </c>
      <c r="P16" s="85">
        <f t="shared" si="2"/>
        <v>33250</v>
      </c>
      <c r="Q16" s="85">
        <f>SUM($E16:$P16)</f>
        <v>399000</v>
      </c>
    </row>
    <row r="17" spans="2:19" x14ac:dyDescent="0.25">
      <c r="R17" s="68"/>
      <c r="S17" s="68"/>
    </row>
    <row r="18" spans="2:19" x14ac:dyDescent="0.25">
      <c r="B18" s="68" t="s">
        <v>79</v>
      </c>
    </row>
    <row r="19" spans="2:19" x14ac:dyDescent="0.25">
      <c r="B19" s="69" t="s">
        <v>173</v>
      </c>
      <c r="D19" s="83">
        <v>0</v>
      </c>
      <c r="E19" s="84">
        <f>'2.Dashboard'!$K8</f>
        <v>4355.75</v>
      </c>
      <c r="F19" s="84">
        <f>'2.Dashboard'!$K8</f>
        <v>4355.75</v>
      </c>
      <c r="G19" s="84">
        <f>'2.Dashboard'!$K8</f>
        <v>4355.75</v>
      </c>
      <c r="H19" s="84">
        <f>'2.Dashboard'!$K8</f>
        <v>4355.75</v>
      </c>
      <c r="I19" s="84">
        <f>'2.Dashboard'!$K8</f>
        <v>4355.75</v>
      </c>
      <c r="J19" s="84">
        <f>'2.Dashboard'!$K8</f>
        <v>4355.75</v>
      </c>
      <c r="K19" s="84">
        <f>'2.Dashboard'!$K8</f>
        <v>4355.75</v>
      </c>
      <c r="L19" s="84">
        <f>'2.Dashboard'!$K8</f>
        <v>4355.75</v>
      </c>
      <c r="M19" s="84">
        <f>'2.Dashboard'!$K8</f>
        <v>4355.75</v>
      </c>
      <c r="N19" s="84">
        <f>'2.Dashboard'!$K8</f>
        <v>4355.75</v>
      </c>
      <c r="O19" s="84">
        <f>'2.Dashboard'!$K8</f>
        <v>4355.75</v>
      </c>
      <c r="P19" s="84">
        <f>'2.Dashboard'!$K8</f>
        <v>4355.75</v>
      </c>
      <c r="Q19" s="293">
        <f t="shared" ref="Q19:Q25" si="3">SUM($E19:$P19)</f>
        <v>52269</v>
      </c>
      <c r="R19" s="287"/>
      <c r="S19" s="287"/>
    </row>
    <row r="20" spans="2:19" x14ac:dyDescent="0.25">
      <c r="B20" s="69" t="s">
        <v>208</v>
      </c>
      <c r="D20" s="83">
        <v>0</v>
      </c>
      <c r="E20" s="84">
        <f>'2.Dashboard'!$K9</f>
        <v>2660</v>
      </c>
      <c r="F20" s="84">
        <f>'2.Dashboard'!$K9</f>
        <v>2660</v>
      </c>
      <c r="G20" s="84">
        <f>'2.Dashboard'!$K9</f>
        <v>2660</v>
      </c>
      <c r="H20" s="84">
        <f>'2.Dashboard'!$K9</f>
        <v>2660</v>
      </c>
      <c r="I20" s="84">
        <f>'2.Dashboard'!$K9</f>
        <v>2660</v>
      </c>
      <c r="J20" s="84">
        <f>'2.Dashboard'!$K9</f>
        <v>2660</v>
      </c>
      <c r="K20" s="84">
        <f>'2.Dashboard'!$K9</f>
        <v>2660</v>
      </c>
      <c r="L20" s="84">
        <f>'2.Dashboard'!$K9</f>
        <v>2660</v>
      </c>
      <c r="M20" s="84">
        <f>'2.Dashboard'!$K9</f>
        <v>2660</v>
      </c>
      <c r="N20" s="84">
        <f>'2.Dashboard'!$K9</f>
        <v>2660</v>
      </c>
      <c r="O20" s="84">
        <f>'2.Dashboard'!$K9</f>
        <v>2660</v>
      </c>
      <c r="P20" s="84">
        <f>'2.Dashboard'!$K9</f>
        <v>2660</v>
      </c>
      <c r="Q20" s="293">
        <f t="shared" si="3"/>
        <v>31920</v>
      </c>
    </row>
    <row r="21" spans="2:19" x14ac:dyDescent="0.25">
      <c r="B21" s="69" t="s">
        <v>66</v>
      </c>
      <c r="D21" s="83">
        <v>0</v>
      </c>
      <c r="E21" s="84">
        <f>'2.Dashboard'!$K10</f>
        <v>0</v>
      </c>
      <c r="F21" s="84">
        <f>'2.Dashboard'!$K10</f>
        <v>0</v>
      </c>
      <c r="G21" s="84">
        <f>'2.Dashboard'!$K10</f>
        <v>0</v>
      </c>
      <c r="H21" s="84">
        <f>'2.Dashboard'!$K10</f>
        <v>0</v>
      </c>
      <c r="I21" s="84">
        <f>'2.Dashboard'!$K10</f>
        <v>0</v>
      </c>
      <c r="J21" s="84">
        <f>'2.Dashboard'!$K10</f>
        <v>0</v>
      </c>
      <c r="K21" s="84">
        <f>'2.Dashboard'!$K10</f>
        <v>0</v>
      </c>
      <c r="L21" s="84">
        <f>'2.Dashboard'!$K10</f>
        <v>0</v>
      </c>
      <c r="M21" s="84">
        <f>'2.Dashboard'!$K10</f>
        <v>0</v>
      </c>
      <c r="N21" s="84">
        <f>'2.Dashboard'!$K10</f>
        <v>0</v>
      </c>
      <c r="O21" s="84">
        <f>'2.Dashboard'!$K10</f>
        <v>0</v>
      </c>
      <c r="P21" s="84">
        <f>'2.Dashboard'!$K10</f>
        <v>0</v>
      </c>
      <c r="Q21" s="293">
        <f t="shared" si="3"/>
        <v>0</v>
      </c>
    </row>
    <row r="22" spans="2:19" x14ac:dyDescent="0.25">
      <c r="B22" s="69" t="s">
        <v>80</v>
      </c>
      <c r="D22" s="83">
        <v>0</v>
      </c>
      <c r="E22" s="84">
        <f>'2.Dashboard'!$K11</f>
        <v>2660</v>
      </c>
      <c r="F22" s="84">
        <f>'2.Dashboard'!$K11</f>
        <v>2660</v>
      </c>
      <c r="G22" s="84">
        <f>'2.Dashboard'!$K11</f>
        <v>2660</v>
      </c>
      <c r="H22" s="84">
        <f>'2.Dashboard'!$K11</f>
        <v>2660</v>
      </c>
      <c r="I22" s="84">
        <f>'2.Dashboard'!$K11</f>
        <v>2660</v>
      </c>
      <c r="J22" s="84">
        <f>'2.Dashboard'!$K11</f>
        <v>2660</v>
      </c>
      <c r="K22" s="84">
        <f>'2.Dashboard'!$K11</f>
        <v>2660</v>
      </c>
      <c r="L22" s="84">
        <f>'2.Dashboard'!$K11</f>
        <v>2660</v>
      </c>
      <c r="M22" s="84">
        <f>'2.Dashboard'!$K11</f>
        <v>2660</v>
      </c>
      <c r="N22" s="84">
        <f>'2.Dashboard'!$K11</f>
        <v>2660</v>
      </c>
      <c r="O22" s="84">
        <f>'2.Dashboard'!$K11</f>
        <v>2660</v>
      </c>
      <c r="P22" s="84">
        <f>'2.Dashboard'!$K11</f>
        <v>2660</v>
      </c>
      <c r="Q22" s="293">
        <f t="shared" si="3"/>
        <v>31920</v>
      </c>
      <c r="S22" s="287"/>
    </row>
    <row r="23" spans="2:19" x14ac:dyDescent="0.25">
      <c r="B23" s="69" t="s">
        <v>209</v>
      </c>
      <c r="D23" s="83">
        <v>0</v>
      </c>
      <c r="E23" s="84">
        <f>'2.Dashboard'!$K12</f>
        <v>997.5</v>
      </c>
      <c r="F23" s="84">
        <f>'2.Dashboard'!$K12</f>
        <v>997.5</v>
      </c>
      <c r="G23" s="84">
        <f>'2.Dashboard'!$K12</f>
        <v>997.5</v>
      </c>
      <c r="H23" s="84">
        <f>'2.Dashboard'!$K12</f>
        <v>997.5</v>
      </c>
      <c r="I23" s="84">
        <f>'2.Dashboard'!$K12</f>
        <v>997.5</v>
      </c>
      <c r="J23" s="84">
        <f>'2.Dashboard'!$K12</f>
        <v>997.5</v>
      </c>
      <c r="K23" s="84">
        <f>'2.Dashboard'!$K12</f>
        <v>997.5</v>
      </c>
      <c r="L23" s="84">
        <f>'2.Dashboard'!$K12</f>
        <v>997.5</v>
      </c>
      <c r="M23" s="84">
        <f>'2.Dashboard'!$K12</f>
        <v>997.5</v>
      </c>
      <c r="N23" s="84">
        <f>'2.Dashboard'!$K12</f>
        <v>997.5</v>
      </c>
      <c r="O23" s="84">
        <f>'2.Dashboard'!$K12</f>
        <v>997.5</v>
      </c>
      <c r="P23" s="84">
        <f>'2.Dashboard'!$K12</f>
        <v>997.5</v>
      </c>
      <c r="Q23" s="293">
        <f t="shared" si="3"/>
        <v>11970</v>
      </c>
    </row>
    <row r="24" spans="2:19" x14ac:dyDescent="0.25">
      <c r="B24" s="69" t="s">
        <v>210</v>
      </c>
      <c r="D24" s="83">
        <v>0</v>
      </c>
      <c r="E24" s="84">
        <f>'2.Dashboard'!$K13</f>
        <v>997.5</v>
      </c>
      <c r="F24" s="84">
        <f>'2.Dashboard'!$K13</f>
        <v>997.5</v>
      </c>
      <c r="G24" s="84">
        <f>'2.Dashboard'!$K13</f>
        <v>997.5</v>
      </c>
      <c r="H24" s="84">
        <f>'2.Dashboard'!$K13</f>
        <v>997.5</v>
      </c>
      <c r="I24" s="84">
        <f>'2.Dashboard'!$K13</f>
        <v>997.5</v>
      </c>
      <c r="J24" s="84">
        <f>'2.Dashboard'!$K13</f>
        <v>997.5</v>
      </c>
      <c r="K24" s="84">
        <f>'2.Dashboard'!$K13</f>
        <v>997.5</v>
      </c>
      <c r="L24" s="84">
        <f>'2.Dashboard'!$K13</f>
        <v>997.5</v>
      </c>
      <c r="M24" s="84">
        <f>'2.Dashboard'!$K13</f>
        <v>997.5</v>
      </c>
      <c r="N24" s="84">
        <f>'2.Dashboard'!$K13</f>
        <v>997.5</v>
      </c>
      <c r="O24" s="84">
        <f>'2.Dashboard'!$K13</f>
        <v>997.5</v>
      </c>
      <c r="P24" s="84">
        <f>'2.Dashboard'!$K13</f>
        <v>997.5</v>
      </c>
      <c r="Q24" s="293">
        <f t="shared" si="3"/>
        <v>11970</v>
      </c>
    </row>
    <row r="25" spans="2:19" x14ac:dyDescent="0.25">
      <c r="B25" s="69" t="s">
        <v>70</v>
      </c>
      <c r="D25" s="83">
        <v>0</v>
      </c>
      <c r="E25" s="84">
        <f>'2.Dashboard'!$K14</f>
        <v>0</v>
      </c>
      <c r="F25" s="84">
        <f>'2.Dashboard'!$K14</f>
        <v>0</v>
      </c>
      <c r="G25" s="84">
        <f>'2.Dashboard'!$K14</f>
        <v>0</v>
      </c>
      <c r="H25" s="84">
        <f>'2.Dashboard'!$K14</f>
        <v>0</v>
      </c>
      <c r="I25" s="84">
        <f>'2.Dashboard'!$K14</f>
        <v>0</v>
      </c>
      <c r="J25" s="84">
        <f>'2.Dashboard'!$K14</f>
        <v>0</v>
      </c>
      <c r="K25" s="84">
        <f>'2.Dashboard'!$K14</f>
        <v>0</v>
      </c>
      <c r="L25" s="84">
        <f>'2.Dashboard'!$K14</f>
        <v>0</v>
      </c>
      <c r="M25" s="84">
        <f>'2.Dashboard'!$K14</f>
        <v>0</v>
      </c>
      <c r="N25" s="84">
        <f>'2.Dashboard'!$K14</f>
        <v>0</v>
      </c>
      <c r="O25" s="84">
        <f>'2.Dashboard'!$K14</f>
        <v>0</v>
      </c>
      <c r="P25" s="84">
        <f>'2.Dashboard'!$K14</f>
        <v>0</v>
      </c>
      <c r="Q25" s="84">
        <f t="shared" si="3"/>
        <v>0</v>
      </c>
    </row>
    <row r="26" spans="2:19" x14ac:dyDescent="0.25">
      <c r="B26" s="70" t="s">
        <v>81</v>
      </c>
      <c r="C26" s="71"/>
      <c r="D26" s="85">
        <f>SUM(D23:D25)</f>
        <v>0</v>
      </c>
      <c r="E26" s="85">
        <f t="shared" ref="E26:Q26" si="4">SUM(E19:E25)</f>
        <v>11670.75</v>
      </c>
      <c r="F26" s="85">
        <f t="shared" si="4"/>
        <v>11670.75</v>
      </c>
      <c r="G26" s="85">
        <f t="shared" si="4"/>
        <v>11670.75</v>
      </c>
      <c r="H26" s="85">
        <f t="shared" si="4"/>
        <v>11670.75</v>
      </c>
      <c r="I26" s="85">
        <f t="shared" si="4"/>
        <v>11670.75</v>
      </c>
      <c r="J26" s="85">
        <f t="shared" si="4"/>
        <v>11670.75</v>
      </c>
      <c r="K26" s="85">
        <f t="shared" si="4"/>
        <v>11670.75</v>
      </c>
      <c r="L26" s="85">
        <f t="shared" si="4"/>
        <v>11670.75</v>
      </c>
      <c r="M26" s="85">
        <f t="shared" si="4"/>
        <v>11670.75</v>
      </c>
      <c r="N26" s="85">
        <f t="shared" si="4"/>
        <v>11670.75</v>
      </c>
      <c r="O26" s="85">
        <f t="shared" si="4"/>
        <v>11670.75</v>
      </c>
      <c r="P26" s="85">
        <f t="shared" si="4"/>
        <v>11670.75</v>
      </c>
      <c r="Q26" s="85">
        <f t="shared" si="4"/>
        <v>140049</v>
      </c>
      <c r="R26" s="95"/>
      <c r="S26" s="287"/>
    </row>
    <row r="27" spans="2:19" x14ac:dyDescent="0.25">
      <c r="B27" s="275" t="s">
        <v>207</v>
      </c>
      <c r="D27" s="290"/>
      <c r="E27" s="290">
        <f>$E$26-'2.Dashboard'!$K$15</f>
        <v>0</v>
      </c>
      <c r="F27" s="290">
        <f>$E$26-'2.Dashboard'!$K$15</f>
        <v>0</v>
      </c>
      <c r="G27" s="290">
        <f>$E$26-'2.Dashboard'!$K$15</f>
        <v>0</v>
      </c>
      <c r="H27" s="290">
        <f>$E$26-'2.Dashboard'!$K$15</f>
        <v>0</v>
      </c>
      <c r="I27" s="290">
        <f>$E$26-'2.Dashboard'!$K$15</f>
        <v>0</v>
      </c>
      <c r="J27" s="290">
        <f>$E$26-'2.Dashboard'!$K$15</f>
        <v>0</v>
      </c>
      <c r="K27" s="290">
        <f>$E$26-'2.Dashboard'!$K$15</f>
        <v>0</v>
      </c>
      <c r="L27" s="290">
        <f>$E$26-'2.Dashboard'!$K$15</f>
        <v>0</v>
      </c>
      <c r="M27" s="290">
        <f>$E$26-'2.Dashboard'!$K$15</f>
        <v>0</v>
      </c>
      <c r="N27" s="290">
        <f>$E$26-'2.Dashboard'!$K$15</f>
        <v>0</v>
      </c>
      <c r="O27" s="290">
        <f>$E$26-'2.Dashboard'!$K$15</f>
        <v>0</v>
      </c>
      <c r="P27" s="290">
        <f>$E$26-'2.Dashboard'!$K$15</f>
        <v>0</v>
      </c>
    </row>
    <row r="29" spans="2:19" ht="14.25" thickBot="1" x14ac:dyDescent="0.3">
      <c r="B29" s="72" t="s">
        <v>72</v>
      </c>
      <c r="C29" s="73"/>
      <c r="D29" s="74">
        <f t="shared" ref="D29:Q29" si="5">D$16-D$26</f>
        <v>0</v>
      </c>
      <c r="E29" s="74">
        <f t="shared" si="5"/>
        <v>21579.25</v>
      </c>
      <c r="F29" s="74">
        <f t="shared" si="5"/>
        <v>21579.25</v>
      </c>
      <c r="G29" s="74">
        <f t="shared" si="5"/>
        <v>21579.25</v>
      </c>
      <c r="H29" s="74">
        <f t="shared" si="5"/>
        <v>21579.25</v>
      </c>
      <c r="I29" s="74">
        <f t="shared" si="5"/>
        <v>21579.25</v>
      </c>
      <c r="J29" s="74">
        <f t="shared" si="5"/>
        <v>21579.25</v>
      </c>
      <c r="K29" s="74">
        <f t="shared" si="5"/>
        <v>21579.25</v>
      </c>
      <c r="L29" s="74">
        <f t="shared" si="5"/>
        <v>21579.25</v>
      </c>
      <c r="M29" s="74">
        <f t="shared" si="5"/>
        <v>21579.25</v>
      </c>
      <c r="N29" s="74">
        <f t="shared" si="5"/>
        <v>21579.25</v>
      </c>
      <c r="O29" s="74">
        <f t="shared" si="5"/>
        <v>21579.25</v>
      </c>
      <c r="P29" s="74">
        <f t="shared" si="5"/>
        <v>21579.25</v>
      </c>
      <c r="Q29" s="74">
        <f t="shared" si="5"/>
        <v>258951</v>
      </c>
    </row>
    <row r="30" spans="2:19" ht="14.25" thickTop="1" x14ac:dyDescent="0.25">
      <c r="B30" s="75" t="s">
        <v>82</v>
      </c>
      <c r="D30" s="144">
        <v>0</v>
      </c>
      <c r="E30" s="76">
        <f t="shared" ref="E30:Q30" si="6">E$29/E$16</f>
        <v>0.64900000000000002</v>
      </c>
      <c r="F30" s="76">
        <f t="shared" si="6"/>
        <v>0.64900000000000002</v>
      </c>
      <c r="G30" s="76">
        <f t="shared" si="6"/>
        <v>0.64900000000000002</v>
      </c>
      <c r="H30" s="76">
        <f t="shared" si="6"/>
        <v>0.64900000000000002</v>
      </c>
      <c r="I30" s="76">
        <f t="shared" si="6"/>
        <v>0.64900000000000002</v>
      </c>
      <c r="J30" s="76">
        <f t="shared" si="6"/>
        <v>0.64900000000000002</v>
      </c>
      <c r="K30" s="76">
        <f t="shared" si="6"/>
        <v>0.64900000000000002</v>
      </c>
      <c r="L30" s="76">
        <f t="shared" si="6"/>
        <v>0.64900000000000002</v>
      </c>
      <c r="M30" s="76">
        <f t="shared" si="6"/>
        <v>0.64900000000000002</v>
      </c>
      <c r="N30" s="76">
        <f t="shared" si="6"/>
        <v>0.64900000000000002</v>
      </c>
      <c r="O30" s="76">
        <f t="shared" si="6"/>
        <v>0.64900000000000002</v>
      </c>
      <c r="P30" s="76">
        <f t="shared" si="6"/>
        <v>0.64900000000000002</v>
      </c>
      <c r="Q30" s="76">
        <f t="shared" si="6"/>
        <v>0.64900000000000002</v>
      </c>
    </row>
    <row r="31" spans="2:19" x14ac:dyDescent="0.25">
      <c r="B31" s="75" t="s">
        <v>56</v>
      </c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</row>
    <row r="32" spans="2:19" x14ac:dyDescent="0.25">
      <c r="B32" s="75"/>
    </row>
    <row r="33" spans="2:19" x14ac:dyDescent="0.25">
      <c r="B33" s="75"/>
    </row>
    <row r="34" spans="2:19" x14ac:dyDescent="0.25">
      <c r="B34" s="78" t="s">
        <v>57</v>
      </c>
      <c r="C34" s="78"/>
      <c r="D34" s="86">
        <v>0</v>
      </c>
      <c r="E34" s="90">
        <f>'2.Dashboard'!$H$18</f>
        <v>10000</v>
      </c>
      <c r="F34" s="90">
        <v>0</v>
      </c>
      <c r="G34" s="90">
        <v>0</v>
      </c>
      <c r="H34" s="90">
        <v>0</v>
      </c>
      <c r="I34" s="90">
        <v>0</v>
      </c>
      <c r="J34" s="90">
        <v>0</v>
      </c>
      <c r="K34" s="90">
        <v>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89">
        <f>SUM(D34:P34)</f>
        <v>10000</v>
      </c>
    </row>
    <row r="35" spans="2:19" x14ac:dyDescent="0.25">
      <c r="B35" s="87" t="s">
        <v>83</v>
      </c>
      <c r="C35" s="87"/>
      <c r="D35" s="88">
        <v>0</v>
      </c>
      <c r="E35" s="92">
        <v>-10000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2">
        <v>0</v>
      </c>
      <c r="N35" s="92">
        <v>0</v>
      </c>
      <c r="O35" s="92">
        <v>0</v>
      </c>
      <c r="P35" s="92">
        <v>0</v>
      </c>
      <c r="Q35" s="91">
        <f>SUM(D35:P35)</f>
        <v>-10000</v>
      </c>
    </row>
    <row r="37" spans="2:19" ht="14.25" thickBot="1" x14ac:dyDescent="0.3">
      <c r="B37" s="72" t="s">
        <v>84</v>
      </c>
      <c r="C37" s="73"/>
      <c r="D37" s="74">
        <f>D29-D34-D35</f>
        <v>0</v>
      </c>
      <c r="E37" s="289">
        <f>E29-E34-E35</f>
        <v>21579.25</v>
      </c>
      <c r="F37" s="289">
        <f t="shared" ref="F37:Q37" si="7">F29-F34-F35</f>
        <v>21579.25</v>
      </c>
      <c r="G37" s="289">
        <f t="shared" si="7"/>
        <v>21579.25</v>
      </c>
      <c r="H37" s="289">
        <f t="shared" si="7"/>
        <v>21579.25</v>
      </c>
      <c r="I37" s="289">
        <f t="shared" si="7"/>
        <v>21579.25</v>
      </c>
      <c r="J37" s="289">
        <f t="shared" si="7"/>
        <v>21579.25</v>
      </c>
      <c r="K37" s="289">
        <f t="shared" si="7"/>
        <v>21579.25</v>
      </c>
      <c r="L37" s="289">
        <f t="shared" si="7"/>
        <v>21579.25</v>
      </c>
      <c r="M37" s="289">
        <f t="shared" si="7"/>
        <v>21579.25</v>
      </c>
      <c r="N37" s="289">
        <f t="shared" si="7"/>
        <v>21579.25</v>
      </c>
      <c r="O37" s="289">
        <f t="shared" si="7"/>
        <v>21579.25</v>
      </c>
      <c r="P37" s="289">
        <f t="shared" si="7"/>
        <v>21579.25</v>
      </c>
      <c r="Q37" s="289">
        <f t="shared" si="7"/>
        <v>258951</v>
      </c>
    </row>
    <row r="38" spans="2:19" ht="14.25" thickTop="1" x14ac:dyDescent="0.25">
      <c r="B38" s="75" t="s">
        <v>85</v>
      </c>
      <c r="E38" s="76">
        <f t="shared" ref="E38:Q38" si="8">$E$37/$E$16</f>
        <v>0.64900000000000002</v>
      </c>
      <c r="F38" s="76">
        <f t="shared" si="8"/>
        <v>0.64900000000000002</v>
      </c>
      <c r="G38" s="76">
        <f t="shared" si="8"/>
        <v>0.64900000000000002</v>
      </c>
      <c r="H38" s="76">
        <f t="shared" si="8"/>
        <v>0.64900000000000002</v>
      </c>
      <c r="I38" s="76">
        <f t="shared" si="8"/>
        <v>0.64900000000000002</v>
      </c>
      <c r="J38" s="76">
        <f t="shared" si="8"/>
        <v>0.64900000000000002</v>
      </c>
      <c r="K38" s="76">
        <f t="shared" si="8"/>
        <v>0.64900000000000002</v>
      </c>
      <c r="L38" s="76">
        <f t="shared" si="8"/>
        <v>0.64900000000000002</v>
      </c>
      <c r="M38" s="76">
        <f t="shared" si="8"/>
        <v>0.64900000000000002</v>
      </c>
      <c r="N38" s="76">
        <f t="shared" si="8"/>
        <v>0.64900000000000002</v>
      </c>
      <c r="O38" s="76">
        <f t="shared" si="8"/>
        <v>0.64900000000000002</v>
      </c>
      <c r="P38" s="76">
        <f t="shared" si="8"/>
        <v>0.64900000000000002</v>
      </c>
      <c r="Q38" s="76">
        <f t="shared" si="8"/>
        <v>0.64900000000000002</v>
      </c>
    </row>
    <row r="39" spans="2:19" x14ac:dyDescent="0.25">
      <c r="B39" s="75"/>
    </row>
    <row r="40" spans="2:19" x14ac:dyDescent="0.25">
      <c r="B40" s="68" t="s">
        <v>89</v>
      </c>
    </row>
    <row r="41" spans="2:19" x14ac:dyDescent="0.25">
      <c r="B41" s="69" t="s">
        <v>86</v>
      </c>
      <c r="D41" s="83">
        <v>0</v>
      </c>
      <c r="E41" s="285" cm="1">
        <f t="array" ref="E41:P41">TRANSPOSE('6. Snr. Debt Amortiz. Schedule'!J15:J26)</f>
        <v>16200.0000000004</v>
      </c>
      <c r="F41" s="285">
        <v>16189.130139031848</v>
      </c>
      <c r="G41" s="285">
        <v>16178.187812323617</v>
      </c>
      <c r="H41" s="285">
        <v>16167.172536770748</v>
      </c>
      <c r="I41" s="285">
        <v>16156.083826047303</v>
      </c>
      <c r="J41" s="285">
        <v>16144.921190585876</v>
      </c>
      <c r="K41" s="285">
        <v>16133.684137554774</v>
      </c>
      <c r="L41" s="285">
        <v>16122.372170836599</v>
      </c>
      <c r="M41" s="285">
        <v>16110.984791006827</v>
      </c>
      <c r="N41" s="285">
        <v>16099.521495311921</v>
      </c>
      <c r="O41" s="285">
        <v>16087.981777645582</v>
      </c>
      <c r="P41" s="285">
        <v>16076.365128527796</v>
      </c>
      <c r="Q41" s="276">
        <f>SUM(D41:P41)</f>
        <v>193666.40500564335</v>
      </c>
    </row>
    <row r="42" spans="2:19" x14ac:dyDescent="0.25">
      <c r="B42" s="69" t="s">
        <v>87</v>
      </c>
      <c r="D42" s="83">
        <v>0</v>
      </c>
      <c r="E42" s="285">
        <f>IFERROR(-IPMT('2.Dashboard'!$H$37/12,'4. First Yr. Cash Flow Schedule'!E$7,'2.Dashboard'!$H$38*12,'4. First Yr. Cash Flow Schedule'!D$53),0)</f>
        <v>0</v>
      </c>
      <c r="F42" s="285">
        <f>IFERROR(-IPMT('2.Dashboard'!$H$37/12,'4. First Yr. Cash Flow Schedule'!F$7,'2.Dashboard'!$H$38*12,'4. First Yr. Cash Flow Schedule'!E$53),0)</f>
        <v>0</v>
      </c>
      <c r="G42" s="285">
        <f>IFERROR(-IPMT('2.Dashboard'!$H$37/12,'4. First Yr. Cash Flow Schedule'!G$7,'2.Dashboard'!$H$38*12,'4. First Yr. Cash Flow Schedule'!F$53),0)</f>
        <v>0</v>
      </c>
      <c r="H42" s="285">
        <f>IFERROR(-IPMT('2.Dashboard'!$H$37/12,'4. First Yr. Cash Flow Schedule'!H$7,'2.Dashboard'!$H$38*12,'4. First Yr. Cash Flow Schedule'!G$53),0)</f>
        <v>0</v>
      </c>
      <c r="I42" s="285">
        <f>IFERROR(-IPMT('2.Dashboard'!$H$37/12,'4. First Yr. Cash Flow Schedule'!I$7,'2.Dashboard'!$H$38*12,'4. First Yr. Cash Flow Schedule'!H$53),0)</f>
        <v>0</v>
      </c>
      <c r="J42" s="285">
        <f>IFERROR(-IPMT('2.Dashboard'!$H$37/12,'4. First Yr. Cash Flow Schedule'!J$7,'2.Dashboard'!$H$38*12,'4. First Yr. Cash Flow Schedule'!I$53),0)</f>
        <v>0</v>
      </c>
      <c r="K42" s="285">
        <f>IFERROR(-IPMT('2.Dashboard'!$H$37/12,'4. First Yr. Cash Flow Schedule'!K$7,'2.Dashboard'!$H$38*12,'4. First Yr. Cash Flow Schedule'!J$53),0)</f>
        <v>0</v>
      </c>
      <c r="L42" s="285">
        <f>IFERROR(-IPMT('2.Dashboard'!$H$37/12,'4. First Yr. Cash Flow Schedule'!L$7,'2.Dashboard'!$H$38*12,'4. First Yr. Cash Flow Schedule'!K$53),0)</f>
        <v>0</v>
      </c>
      <c r="M42" s="285">
        <f>IFERROR(-IPMT('2.Dashboard'!$H$37/12,'4. First Yr. Cash Flow Schedule'!M$7,'2.Dashboard'!$H$38*12,'4. First Yr. Cash Flow Schedule'!L$53),0)</f>
        <v>0</v>
      </c>
      <c r="N42" s="285">
        <f>IFERROR(-IPMT('2.Dashboard'!$H$37/12,'4. First Yr. Cash Flow Schedule'!N$7,'2.Dashboard'!$H$38*12,'4. First Yr. Cash Flow Schedule'!M$53),0)</f>
        <v>0</v>
      </c>
      <c r="O42" s="285">
        <f>IFERROR(-IPMT('2.Dashboard'!$H$37/12,'4. First Yr. Cash Flow Schedule'!O$7,'2.Dashboard'!$H$38*12,'4. First Yr. Cash Flow Schedule'!N$53),0)</f>
        <v>0</v>
      </c>
      <c r="P42" s="285">
        <f>IFERROR(-IPMT('2.Dashboard'!$H$37/12,'4. First Yr. Cash Flow Schedule'!P$7,'2.Dashboard'!$H$38*12,'4. First Yr. Cash Flow Schedule'!O$53),0)</f>
        <v>0</v>
      </c>
      <c r="Q42" s="276">
        <f t="shared" ref="Q42:Q46" si="9">SUM(D42:P42)</f>
        <v>0</v>
      </c>
    </row>
    <row r="43" spans="2:19" x14ac:dyDescent="0.25">
      <c r="B43" s="69" t="s">
        <v>190</v>
      </c>
      <c r="D43" s="283">
        <v>0</v>
      </c>
      <c r="E43" s="286">
        <f>IFERROR(-IPMT('2.Dashboard'!$H$43/12,'4. First Yr. Cash Flow Schedule'!E$7,'2.Dashboard'!$H$44*12,'4. First Yr. Cash Flow Schedule'!D$54),0)</f>
        <v>0</v>
      </c>
      <c r="F43" s="286">
        <f>IFERROR(-IPMT('2.Dashboard'!$H$43/12,'4. First Yr. Cash Flow Schedule'!F$7,'2.Dashboard'!$H$44*12,'4. First Yr. Cash Flow Schedule'!E$54),0)</f>
        <v>0</v>
      </c>
      <c r="G43" s="286">
        <f>IFERROR(-IPMT('2.Dashboard'!$H$43/12,'4. First Yr. Cash Flow Schedule'!G$7,'2.Dashboard'!$H$44*12,'4. First Yr. Cash Flow Schedule'!F$54),0)</f>
        <v>0</v>
      </c>
      <c r="H43" s="286">
        <f>IFERROR(-IPMT('2.Dashboard'!$H$43/12,'4. First Yr. Cash Flow Schedule'!H$7,'2.Dashboard'!$H$44*12,'4. First Yr. Cash Flow Schedule'!G$54),0)</f>
        <v>0</v>
      </c>
      <c r="I43" s="286">
        <f>IFERROR(-IPMT('2.Dashboard'!$H$43/12,'4. First Yr. Cash Flow Schedule'!I$7,'2.Dashboard'!$H$44*12,'4. First Yr. Cash Flow Schedule'!H$54),0)</f>
        <v>0</v>
      </c>
      <c r="J43" s="286">
        <f>IFERROR(-IPMT('2.Dashboard'!$H$43/12,'4. First Yr. Cash Flow Schedule'!J$7,'2.Dashboard'!$H$44*12,'4. First Yr. Cash Flow Schedule'!I$54),0)</f>
        <v>0</v>
      </c>
      <c r="K43" s="286">
        <f>IFERROR(-IPMT('2.Dashboard'!$H$43/12,'4. First Yr. Cash Flow Schedule'!K$7,'2.Dashboard'!$H$44*12,'4. First Yr. Cash Flow Schedule'!J$54),0)</f>
        <v>0</v>
      </c>
      <c r="L43" s="286">
        <f>IFERROR(-IPMT('2.Dashboard'!$H$43/12,'4. First Yr. Cash Flow Schedule'!L$7,'2.Dashboard'!$H$44*12,'4. First Yr. Cash Flow Schedule'!K$54),0)</f>
        <v>0</v>
      </c>
      <c r="M43" s="286">
        <f>IFERROR(-IPMT('2.Dashboard'!$H$43/12,'4. First Yr. Cash Flow Schedule'!M$7,'2.Dashboard'!$H$44*12,'4. First Yr. Cash Flow Schedule'!L$54),0)</f>
        <v>0</v>
      </c>
      <c r="N43" s="286">
        <f>IFERROR(-IPMT('2.Dashboard'!$H$43/12,'4. First Yr. Cash Flow Schedule'!N$7,'2.Dashboard'!$H$44*12,'4. First Yr. Cash Flow Schedule'!M$54),0)</f>
        <v>0</v>
      </c>
      <c r="O43" s="286">
        <f>IFERROR(-IPMT('2.Dashboard'!$H$43/12,'4. First Yr. Cash Flow Schedule'!O$7,'2.Dashboard'!$H$44*12,'4. First Yr. Cash Flow Schedule'!N$54),0)</f>
        <v>0</v>
      </c>
      <c r="P43" s="286">
        <f>IFERROR(-IPMT('2.Dashboard'!$H$43/12,'4. First Yr. Cash Flow Schedule'!P$7,'2.Dashboard'!$H$44*12,'4. First Yr. Cash Flow Schedule'!O$54),0)</f>
        <v>0</v>
      </c>
      <c r="Q43" s="276">
        <f t="shared" si="9"/>
        <v>0</v>
      </c>
    </row>
    <row r="44" spans="2:19" x14ac:dyDescent="0.25">
      <c r="B44" s="69" t="s">
        <v>88</v>
      </c>
      <c r="D44" s="283">
        <v>0</v>
      </c>
      <c r="E44" s="286" cm="1">
        <f t="array" ref="E44:P44">TRANSPOSE('6. Snr. Debt Amortiz. Schedule'!H15:H26)</f>
        <v>1630.479145268444</v>
      </c>
      <c r="F44" s="286">
        <v>1641.3490062369965</v>
      </c>
      <c r="G44" s="286">
        <v>1652.2913329452276</v>
      </c>
      <c r="H44" s="286">
        <v>1663.3066084980965</v>
      </c>
      <c r="I44" s="286">
        <v>1674.3953192215413</v>
      </c>
      <c r="J44" s="286">
        <v>1685.5579546829686</v>
      </c>
      <c r="K44" s="286">
        <v>1696.7950077140704</v>
      </c>
      <c r="L44" s="286">
        <v>1708.1069744322449</v>
      </c>
      <c r="M44" s="286">
        <v>1719.4943542620167</v>
      </c>
      <c r="N44" s="286">
        <v>1730.957649956923</v>
      </c>
      <c r="O44" s="286">
        <v>1742.4973676232621</v>
      </c>
      <c r="P44" s="286">
        <v>1754.1140167410485</v>
      </c>
      <c r="Q44" s="276">
        <f t="shared" si="9"/>
        <v>20299.34473758284</v>
      </c>
    </row>
    <row r="45" spans="2:19" x14ac:dyDescent="0.25">
      <c r="B45" s="69" t="s">
        <v>136</v>
      </c>
      <c r="D45" s="283">
        <v>0</v>
      </c>
      <c r="E45" s="287">
        <f>IFERROR(-PPMT('2.Dashboard'!$H$37/12,'4. First Yr. Cash Flow Schedule'!E$7,'2.Dashboard'!$H$38*12,'4. First Yr. Cash Flow Schedule'!D$53),0)</f>
        <v>0</v>
      </c>
      <c r="F45" s="287">
        <f>IFERROR(-PPMT('2.Dashboard'!$H$37/12,'4. First Yr. Cash Flow Schedule'!F$7,'2.Dashboard'!$H$38*12,'4. First Yr. Cash Flow Schedule'!E$53),0)</f>
        <v>0</v>
      </c>
      <c r="G45" s="287">
        <f>IFERROR(-PPMT('2.Dashboard'!$H$37/12,'4. First Yr. Cash Flow Schedule'!G$7,'2.Dashboard'!$H$38*12,'4. First Yr. Cash Flow Schedule'!F$53),0)</f>
        <v>0</v>
      </c>
      <c r="H45" s="287">
        <f>IFERROR(-PPMT('2.Dashboard'!$H$37/12,'4. First Yr. Cash Flow Schedule'!H$7,'2.Dashboard'!$H$38*12,'4. First Yr. Cash Flow Schedule'!G$53),0)</f>
        <v>0</v>
      </c>
      <c r="I45" s="287">
        <f>IFERROR(-PPMT('2.Dashboard'!$H$37/12,'4. First Yr. Cash Flow Schedule'!I$7,'2.Dashboard'!$H$38*12,'4. First Yr. Cash Flow Schedule'!H$53),0)</f>
        <v>0</v>
      </c>
      <c r="J45" s="287">
        <f>IFERROR(-PPMT('2.Dashboard'!$H$37/12,'4. First Yr. Cash Flow Schedule'!J$7,'2.Dashboard'!$H$38*12,'4. First Yr. Cash Flow Schedule'!I$53),0)</f>
        <v>0</v>
      </c>
      <c r="K45" s="287">
        <f>IFERROR(-PPMT('2.Dashboard'!$H$37/12,'4. First Yr. Cash Flow Schedule'!K$7,'2.Dashboard'!$H$38*12,'4. First Yr. Cash Flow Schedule'!J$53),0)</f>
        <v>0</v>
      </c>
      <c r="L45" s="287">
        <f>IFERROR(-PPMT('2.Dashboard'!$H$37/12,'4. First Yr. Cash Flow Schedule'!L$7,'2.Dashboard'!$H$38*12,'4. First Yr. Cash Flow Schedule'!K$53),0)</f>
        <v>0</v>
      </c>
      <c r="M45" s="287">
        <f>IFERROR(-PPMT('2.Dashboard'!$H$37/12,'4. First Yr. Cash Flow Schedule'!M$7,'2.Dashboard'!$H$38*12,'4. First Yr. Cash Flow Schedule'!L$53),0)</f>
        <v>0</v>
      </c>
      <c r="N45" s="287">
        <f>IFERROR(-PPMT('2.Dashboard'!$H$37/12,'4. First Yr. Cash Flow Schedule'!N$7,'2.Dashboard'!$H$38*12,'4. First Yr. Cash Flow Schedule'!M$53),0)</f>
        <v>0</v>
      </c>
      <c r="O45" s="287">
        <f>IFERROR(-PPMT('2.Dashboard'!$H$37/12,'4. First Yr. Cash Flow Schedule'!O$7,'2.Dashboard'!$H$38*12,'4. First Yr. Cash Flow Schedule'!N$53),0)</f>
        <v>0</v>
      </c>
      <c r="P45" s="287">
        <f>IFERROR(-PPMT('2.Dashboard'!$H$37/12,'4. First Yr. Cash Flow Schedule'!P$7,'2.Dashboard'!$H$38*12,'4. First Yr. Cash Flow Schedule'!O$53),0)</f>
        <v>0</v>
      </c>
      <c r="Q45" s="276">
        <f t="shared" si="9"/>
        <v>0</v>
      </c>
    </row>
    <row r="46" spans="2:19" x14ac:dyDescent="0.25">
      <c r="B46" s="69" t="s">
        <v>189</v>
      </c>
      <c r="D46" s="283">
        <v>0</v>
      </c>
      <c r="E46" s="286">
        <v>0</v>
      </c>
      <c r="F46" s="286">
        <v>0</v>
      </c>
      <c r="G46" s="286">
        <v>0</v>
      </c>
      <c r="H46" s="286">
        <v>0</v>
      </c>
      <c r="I46" s="286">
        <v>0</v>
      </c>
      <c r="J46" s="286">
        <v>0</v>
      </c>
      <c r="K46" s="286">
        <v>0</v>
      </c>
      <c r="L46" s="286">
        <v>0</v>
      </c>
      <c r="M46" s="286">
        <v>0</v>
      </c>
      <c r="N46" s="286">
        <v>0</v>
      </c>
      <c r="O46" s="286">
        <v>0</v>
      </c>
      <c r="P46" s="286">
        <v>0</v>
      </c>
      <c r="Q46" s="276">
        <f t="shared" si="9"/>
        <v>0</v>
      </c>
    </row>
    <row r="47" spans="2:19" x14ac:dyDescent="0.25">
      <c r="B47" s="277" t="s">
        <v>211</v>
      </c>
      <c r="C47" s="278"/>
      <c r="D47" s="279">
        <f>SUM(D41:D46)</f>
        <v>0</v>
      </c>
      <c r="E47" s="288">
        <f t="shared" ref="E47:Q47" si="10">SUM(E41:E46)</f>
        <v>17830.479145268844</v>
      </c>
      <c r="F47" s="288">
        <f t="shared" si="10"/>
        <v>17830.479145268844</v>
      </c>
      <c r="G47" s="288">
        <f t="shared" si="10"/>
        <v>17830.479145268844</v>
      </c>
      <c r="H47" s="288">
        <f t="shared" si="10"/>
        <v>17830.479145268844</v>
      </c>
      <c r="I47" s="288">
        <f t="shared" si="10"/>
        <v>17830.479145268844</v>
      </c>
      <c r="J47" s="288">
        <f t="shared" si="10"/>
        <v>17830.479145268844</v>
      </c>
      <c r="K47" s="288">
        <f t="shared" si="10"/>
        <v>17830.479145268844</v>
      </c>
      <c r="L47" s="288">
        <f t="shared" si="10"/>
        <v>17830.479145268844</v>
      </c>
      <c r="M47" s="288">
        <f t="shared" si="10"/>
        <v>17830.479145268844</v>
      </c>
      <c r="N47" s="288">
        <f t="shared" si="10"/>
        <v>17830.479145268844</v>
      </c>
      <c r="O47" s="288">
        <f t="shared" si="10"/>
        <v>17830.479145268844</v>
      </c>
      <c r="P47" s="288">
        <f t="shared" si="10"/>
        <v>17830.479145268844</v>
      </c>
      <c r="Q47" s="288">
        <f t="shared" si="10"/>
        <v>213965.74974322619</v>
      </c>
      <c r="S47" s="408"/>
    </row>
    <row r="48" spans="2:19" x14ac:dyDescent="0.25">
      <c r="B48" s="69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</row>
    <row r="49" spans="2:17" x14ac:dyDescent="0.25">
      <c r="B49" s="70" t="s">
        <v>90</v>
      </c>
      <c r="C49" s="71"/>
      <c r="D49" s="85">
        <f>SUM(D41:D44)</f>
        <v>0</v>
      </c>
      <c r="E49" s="282">
        <f>E37-E47</f>
        <v>3748.7708547311559</v>
      </c>
      <c r="F49" s="282">
        <f t="shared" ref="F49:Q49" si="11">F37-F47</f>
        <v>3748.7708547311559</v>
      </c>
      <c r="G49" s="282">
        <f t="shared" si="11"/>
        <v>3748.7708547311559</v>
      </c>
      <c r="H49" s="282">
        <f t="shared" si="11"/>
        <v>3748.7708547311559</v>
      </c>
      <c r="I49" s="282">
        <f t="shared" si="11"/>
        <v>3748.7708547311559</v>
      </c>
      <c r="J49" s="282">
        <f t="shared" si="11"/>
        <v>3748.7708547311559</v>
      </c>
      <c r="K49" s="282">
        <f t="shared" si="11"/>
        <v>3748.7708547311559</v>
      </c>
      <c r="L49" s="282">
        <f t="shared" si="11"/>
        <v>3748.7708547311559</v>
      </c>
      <c r="M49" s="282">
        <f t="shared" si="11"/>
        <v>3748.7708547311559</v>
      </c>
      <c r="N49" s="282">
        <f t="shared" si="11"/>
        <v>3748.7708547311559</v>
      </c>
      <c r="O49" s="282">
        <f t="shared" si="11"/>
        <v>3748.7708547311559</v>
      </c>
      <c r="P49" s="282">
        <f t="shared" si="11"/>
        <v>3748.7708547311559</v>
      </c>
      <c r="Q49" s="282">
        <f t="shared" si="11"/>
        <v>44985.250256773812</v>
      </c>
    </row>
    <row r="50" spans="2:17" x14ac:dyDescent="0.25">
      <c r="B50" s="75"/>
    </row>
    <row r="52" spans="2:17" x14ac:dyDescent="0.25">
      <c r="B52" s="69" t="s">
        <v>91</v>
      </c>
      <c r="D52" s="96">
        <f>'2.Dashboard'!$H$28</f>
        <v>2430000</v>
      </c>
      <c r="E52" s="95">
        <f t="shared" ref="E52:P52" si="12">D$52-E$44</f>
        <v>2428369.5208547316</v>
      </c>
      <c r="F52" s="95">
        <f t="shared" si="12"/>
        <v>2426728.1718484946</v>
      </c>
      <c r="G52" s="95">
        <f t="shared" si="12"/>
        <v>2425075.8805155493</v>
      </c>
      <c r="H52" s="95">
        <f t="shared" si="12"/>
        <v>2423412.5739070512</v>
      </c>
      <c r="I52" s="95">
        <f t="shared" si="12"/>
        <v>2421738.1785878297</v>
      </c>
      <c r="J52" s="95">
        <f t="shared" si="12"/>
        <v>2420052.6206331467</v>
      </c>
      <c r="K52" s="95">
        <f t="shared" si="12"/>
        <v>2418355.8256254327</v>
      </c>
      <c r="L52" s="95">
        <f t="shared" si="12"/>
        <v>2416647.7186510004</v>
      </c>
      <c r="M52" s="95">
        <f t="shared" si="12"/>
        <v>2414928.2242967384</v>
      </c>
      <c r="N52" s="95">
        <f t="shared" si="12"/>
        <v>2413197.2666467815</v>
      </c>
      <c r="O52" s="95">
        <f t="shared" si="12"/>
        <v>2411454.7692791582</v>
      </c>
      <c r="P52" s="95">
        <f t="shared" si="12"/>
        <v>2409700.6552624172</v>
      </c>
      <c r="Q52" s="294"/>
    </row>
    <row r="53" spans="2:17" x14ac:dyDescent="0.25">
      <c r="B53" s="69" t="s">
        <v>92</v>
      </c>
      <c r="D53" s="96">
        <f>'2.Dashboard'!$H$36</f>
        <v>0</v>
      </c>
      <c r="E53" s="84">
        <f t="shared" ref="E53:P53" si="13">D$53-E$45</f>
        <v>0</v>
      </c>
      <c r="F53" s="84">
        <f t="shared" si="13"/>
        <v>0</v>
      </c>
      <c r="G53" s="84">
        <f t="shared" si="13"/>
        <v>0</v>
      </c>
      <c r="H53" s="84">
        <f t="shared" si="13"/>
        <v>0</v>
      </c>
      <c r="I53" s="84">
        <f t="shared" si="13"/>
        <v>0</v>
      </c>
      <c r="J53" s="84">
        <f t="shared" si="13"/>
        <v>0</v>
      </c>
      <c r="K53" s="84">
        <f t="shared" si="13"/>
        <v>0</v>
      </c>
      <c r="L53" s="84">
        <f t="shared" si="13"/>
        <v>0</v>
      </c>
      <c r="M53" s="84">
        <f t="shared" si="13"/>
        <v>0</v>
      </c>
      <c r="N53" s="84">
        <f t="shared" si="13"/>
        <v>0</v>
      </c>
      <c r="O53" s="84">
        <f t="shared" si="13"/>
        <v>0</v>
      </c>
      <c r="P53" s="84">
        <f t="shared" si="13"/>
        <v>0</v>
      </c>
      <c r="Q53" s="294"/>
    </row>
    <row r="54" spans="2:17" x14ac:dyDescent="0.25">
      <c r="B54" s="69" t="s">
        <v>191</v>
      </c>
      <c r="D54" s="96">
        <f>'2.Dashboard'!$H$42</f>
        <v>0</v>
      </c>
      <c r="E54" s="95">
        <f t="shared" ref="E54:P54" si="14">D$54-E$46</f>
        <v>0</v>
      </c>
      <c r="F54" s="95">
        <f t="shared" si="14"/>
        <v>0</v>
      </c>
      <c r="G54" s="95">
        <f t="shared" si="14"/>
        <v>0</v>
      </c>
      <c r="H54" s="95">
        <f t="shared" si="14"/>
        <v>0</v>
      </c>
      <c r="I54" s="95">
        <f t="shared" si="14"/>
        <v>0</v>
      </c>
      <c r="J54" s="95">
        <f t="shared" si="14"/>
        <v>0</v>
      </c>
      <c r="K54" s="95">
        <f t="shared" si="14"/>
        <v>0</v>
      </c>
      <c r="L54" s="95">
        <f t="shared" si="14"/>
        <v>0</v>
      </c>
      <c r="M54" s="95">
        <f t="shared" si="14"/>
        <v>0</v>
      </c>
      <c r="N54" s="95">
        <f t="shared" si="14"/>
        <v>0</v>
      </c>
      <c r="O54" s="95">
        <f t="shared" si="14"/>
        <v>0</v>
      </c>
      <c r="P54" s="95">
        <f t="shared" si="14"/>
        <v>0</v>
      </c>
      <c r="Q54" s="294"/>
    </row>
    <row r="55" spans="2:17" x14ac:dyDescent="0.25">
      <c r="B55" s="77" t="s">
        <v>93</v>
      </c>
      <c r="C55" s="78"/>
      <c r="D55" s="94">
        <f>SUM(D52:D53)</f>
        <v>2430000</v>
      </c>
      <c r="E55" s="284">
        <f>SUM(E52:E54)</f>
        <v>2428369.5208547316</v>
      </c>
      <c r="F55" s="284">
        <f t="shared" ref="F55:P55" si="15">SUM(F52:F54)</f>
        <v>2426728.1718484946</v>
      </c>
      <c r="G55" s="284">
        <f t="shared" si="15"/>
        <v>2425075.8805155493</v>
      </c>
      <c r="H55" s="284">
        <f t="shared" si="15"/>
        <v>2423412.5739070512</v>
      </c>
      <c r="I55" s="284">
        <f t="shared" si="15"/>
        <v>2421738.1785878297</v>
      </c>
      <c r="J55" s="284">
        <f t="shared" si="15"/>
        <v>2420052.6206331467</v>
      </c>
      <c r="K55" s="284">
        <f t="shared" si="15"/>
        <v>2418355.8256254327</v>
      </c>
      <c r="L55" s="284">
        <f t="shared" si="15"/>
        <v>2416647.7186510004</v>
      </c>
      <c r="M55" s="284">
        <f t="shared" si="15"/>
        <v>2414928.2242967384</v>
      </c>
      <c r="N55" s="284">
        <f t="shared" si="15"/>
        <v>2413197.2666467815</v>
      </c>
      <c r="O55" s="284">
        <f t="shared" si="15"/>
        <v>2411454.7692791582</v>
      </c>
      <c r="P55" s="284">
        <f t="shared" si="15"/>
        <v>2409700.6552624172</v>
      </c>
      <c r="Q55" s="295">
        <f>P55</f>
        <v>2409700.6552624172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F6916-D106-4890-A362-E42E5E9E089F}">
  <dimension ref="B4:U38"/>
  <sheetViews>
    <sheetView showGridLines="0" zoomScale="85" zoomScaleNormal="85" workbookViewId="0">
      <pane xSplit="5" ySplit="8" topLeftCell="F12" activePane="bottomRight" state="frozen"/>
      <selection pane="topRight" activeCell="F1" sqref="F1"/>
      <selection pane="bottomLeft" activeCell="A9" sqref="A9"/>
      <selection pane="bottomRight" activeCell="F38" sqref="F38"/>
    </sheetView>
  </sheetViews>
  <sheetFormatPr defaultColWidth="8.85546875" defaultRowHeight="13.5" x14ac:dyDescent="0.25"/>
  <cols>
    <col min="1" max="1" width="2.7109375" style="60" customWidth="1"/>
    <col min="2" max="2" width="28.28515625" style="60" bestFit="1" customWidth="1"/>
    <col min="3" max="3" width="2.28515625" style="60" customWidth="1"/>
    <col min="4" max="4" width="9.28515625" style="60" bestFit="1" customWidth="1"/>
    <col min="5" max="5" width="2.5703125" style="60" customWidth="1"/>
    <col min="6" max="9" width="12.5703125" style="60" bestFit="1" customWidth="1"/>
    <col min="10" max="20" width="12" style="60" bestFit="1" customWidth="1"/>
    <col min="21" max="21" width="2.7109375" style="60" customWidth="1"/>
    <col min="22" max="16384" width="8.85546875" style="60"/>
  </cols>
  <sheetData>
    <row r="4" spans="2:21" ht="14.25" thickBot="1" x14ac:dyDescent="0.3"/>
    <row r="5" spans="2:21" ht="15.75" thickBot="1" x14ac:dyDescent="0.3">
      <c r="B5" s="23" t="s">
        <v>94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5"/>
    </row>
    <row r="6" spans="2:21" ht="14.25" thickBot="1" x14ac:dyDescent="0.3"/>
    <row r="7" spans="2:21" x14ac:dyDescent="0.25">
      <c r="B7" s="61" t="s">
        <v>95</v>
      </c>
      <c r="C7" s="62"/>
      <c r="D7" s="62"/>
      <c r="E7" s="62"/>
      <c r="F7" s="135">
        <v>1</v>
      </c>
      <c r="G7" s="135">
        <f t="shared" ref="G7:T7" si="0">F7+1</f>
        <v>2</v>
      </c>
      <c r="H7" s="135">
        <f t="shared" si="0"/>
        <v>3</v>
      </c>
      <c r="I7" s="135">
        <f t="shared" si="0"/>
        <v>4</v>
      </c>
      <c r="J7" s="135">
        <f t="shared" si="0"/>
        <v>5</v>
      </c>
      <c r="K7" s="135">
        <f t="shared" si="0"/>
        <v>6</v>
      </c>
      <c r="L7" s="135">
        <f t="shared" si="0"/>
        <v>7</v>
      </c>
      <c r="M7" s="135">
        <f t="shared" si="0"/>
        <v>8</v>
      </c>
      <c r="N7" s="135">
        <f t="shared" si="0"/>
        <v>9</v>
      </c>
      <c r="O7" s="135">
        <f t="shared" si="0"/>
        <v>10</v>
      </c>
      <c r="P7" s="135">
        <f t="shared" si="0"/>
        <v>11</v>
      </c>
      <c r="Q7" s="135">
        <f t="shared" si="0"/>
        <v>12</v>
      </c>
      <c r="R7" s="135">
        <f t="shared" si="0"/>
        <v>13</v>
      </c>
      <c r="S7" s="135">
        <f t="shared" si="0"/>
        <v>14</v>
      </c>
      <c r="T7" s="135">
        <f t="shared" si="0"/>
        <v>15</v>
      </c>
      <c r="U7" s="136"/>
    </row>
    <row r="8" spans="2:21" ht="27.75" thickBot="1" x14ac:dyDescent="0.3">
      <c r="B8" s="64" t="s">
        <v>171</v>
      </c>
      <c r="C8" s="65"/>
      <c r="D8" s="66" t="s">
        <v>96</v>
      </c>
      <c r="E8" s="65"/>
      <c r="F8" s="137">
        <f>'4. First Yr. Cash Flow Schedule'!E9</f>
        <v>45748</v>
      </c>
      <c r="G8" s="137">
        <f t="shared" ref="G8:T8" si="1">EDATE(F8,12)</f>
        <v>46113</v>
      </c>
      <c r="H8" s="137">
        <f t="shared" si="1"/>
        <v>46478</v>
      </c>
      <c r="I8" s="137">
        <f t="shared" si="1"/>
        <v>46844</v>
      </c>
      <c r="J8" s="137">
        <f t="shared" si="1"/>
        <v>47209</v>
      </c>
      <c r="K8" s="137">
        <f t="shared" si="1"/>
        <v>47574</v>
      </c>
      <c r="L8" s="137">
        <f t="shared" si="1"/>
        <v>47939</v>
      </c>
      <c r="M8" s="137">
        <f t="shared" si="1"/>
        <v>48305</v>
      </c>
      <c r="N8" s="137">
        <f t="shared" si="1"/>
        <v>48670</v>
      </c>
      <c r="O8" s="137">
        <f t="shared" si="1"/>
        <v>49035</v>
      </c>
      <c r="P8" s="137">
        <f t="shared" si="1"/>
        <v>49400</v>
      </c>
      <c r="Q8" s="137">
        <f t="shared" si="1"/>
        <v>49766</v>
      </c>
      <c r="R8" s="137">
        <f t="shared" si="1"/>
        <v>50131</v>
      </c>
      <c r="S8" s="137">
        <f t="shared" si="1"/>
        <v>50496</v>
      </c>
      <c r="T8" s="137">
        <f t="shared" si="1"/>
        <v>50861</v>
      </c>
      <c r="U8" s="138"/>
    </row>
    <row r="10" spans="2:21" x14ac:dyDescent="0.25">
      <c r="B10" s="68" t="s">
        <v>97</v>
      </c>
    </row>
    <row r="11" spans="2:21" x14ac:dyDescent="0.25">
      <c r="B11" s="69" t="s">
        <v>98</v>
      </c>
      <c r="D11" s="291">
        <f>'2.Dashboard'!$D$33</f>
        <v>3.5000000000000003E-2</v>
      </c>
      <c r="F11" s="95">
        <f>'2.Dashboard'!$D$30*COUNTIFS('4. First Yr. Cash Flow Schedule'!$E$9:$P$9,"&gt;="&amp;DATE(YEAR('2.Dashboard'!$D$20),1,1),'4. First Yr. Cash Flow Schedule'!$E$9:$P$9,"&lt;="&amp;DATE(YEAR('2.Dashboard'!$D$20),12,31))</f>
        <v>315000</v>
      </c>
      <c r="G11" s="95">
        <f>'2.Dashboard'!$D$30*12</f>
        <v>420000</v>
      </c>
      <c r="H11" s="95">
        <f t="shared" ref="H11:T11" si="2">G$11*(1+$D$11)</f>
        <v>434699.99999999994</v>
      </c>
      <c r="I11" s="95">
        <f t="shared" si="2"/>
        <v>449914.49999999988</v>
      </c>
      <c r="J11" s="95">
        <f t="shared" si="2"/>
        <v>465661.50749999983</v>
      </c>
      <c r="K11" s="95">
        <f t="shared" si="2"/>
        <v>481959.66026249976</v>
      </c>
      <c r="L11" s="95">
        <f t="shared" si="2"/>
        <v>498828.24837168719</v>
      </c>
      <c r="M11" s="95">
        <f t="shared" si="2"/>
        <v>516287.23706469621</v>
      </c>
      <c r="N11" s="95">
        <f t="shared" si="2"/>
        <v>534357.29036196053</v>
      </c>
      <c r="O11" s="95">
        <f t="shared" si="2"/>
        <v>553059.79552462907</v>
      </c>
      <c r="P11" s="95">
        <f t="shared" si="2"/>
        <v>572416.88836799108</v>
      </c>
      <c r="Q11" s="95">
        <f t="shared" si="2"/>
        <v>592451.47946087073</v>
      </c>
      <c r="R11" s="95">
        <f t="shared" si="2"/>
        <v>613187.2812420011</v>
      </c>
      <c r="S11" s="95">
        <f t="shared" si="2"/>
        <v>634648.83608547109</v>
      </c>
      <c r="T11" s="95">
        <f t="shared" si="2"/>
        <v>656861.54534846253</v>
      </c>
      <c r="U11" s="95"/>
    </row>
    <row r="12" spans="2:21" x14ac:dyDescent="0.25">
      <c r="B12" s="69" t="s">
        <v>99</v>
      </c>
      <c r="D12" s="291"/>
      <c r="F12" s="145">
        <f>-F$11*'2.Dashboard'!$D$24</f>
        <v>-15750</v>
      </c>
      <c r="G12" s="145">
        <f>-G$11*'2.Dashboard'!$D$24</f>
        <v>-21000</v>
      </c>
      <c r="H12" s="145">
        <f>-H$11*'2.Dashboard'!$D$24</f>
        <v>-21735</v>
      </c>
      <c r="I12" s="145">
        <f>-I$11*'2.Dashboard'!$D$24</f>
        <v>-22495.724999999995</v>
      </c>
      <c r="J12" s="145">
        <f>-J$11*'2.Dashboard'!$D$24</f>
        <v>-23283.075374999993</v>
      </c>
      <c r="K12" s="145">
        <f>-K$11*'2.Dashboard'!$D$24</f>
        <v>-24097.983013124991</v>
      </c>
      <c r="L12" s="145">
        <f>-L$11*'2.Dashboard'!$D$24</f>
        <v>-24941.412418584361</v>
      </c>
      <c r="M12" s="145">
        <f>-M$11*'2.Dashboard'!$D$24</f>
        <v>-25814.361853234812</v>
      </c>
      <c r="N12" s="145">
        <f>-N$11*'2.Dashboard'!$D$24</f>
        <v>-26717.864518098027</v>
      </c>
      <c r="O12" s="145">
        <f>-O$11*'2.Dashboard'!$D$24</f>
        <v>-27652.989776231454</v>
      </c>
      <c r="P12" s="145">
        <f>-P$11*'2.Dashboard'!$D$24</f>
        <v>-28620.844418399556</v>
      </c>
      <c r="Q12" s="145">
        <f>-Q$11*'2.Dashboard'!$D$24</f>
        <v>-29622.573973043538</v>
      </c>
      <c r="R12" s="145">
        <f>-R$11*'2.Dashboard'!$D$24</f>
        <v>-30659.364062100056</v>
      </c>
      <c r="S12" s="145">
        <f>-S$11*'2.Dashboard'!$D$24</f>
        <v>-31732.441804273556</v>
      </c>
      <c r="T12" s="145">
        <f>-T$11*'2.Dashboard'!$D$24</f>
        <v>-32843.077267423127</v>
      </c>
    </row>
    <row r="13" spans="2:21" x14ac:dyDescent="0.25">
      <c r="B13" s="70" t="s">
        <v>100</v>
      </c>
      <c r="C13" s="71"/>
      <c r="D13" s="71"/>
      <c r="E13" s="71"/>
      <c r="F13" s="139">
        <f t="shared" ref="F13:T13" si="3">SUM(F$11:F$12)</f>
        <v>299250</v>
      </c>
      <c r="G13" s="139">
        <f t="shared" si="3"/>
        <v>399000</v>
      </c>
      <c r="H13" s="139">
        <f t="shared" si="3"/>
        <v>412964.99999999994</v>
      </c>
      <c r="I13" s="139">
        <f t="shared" si="3"/>
        <v>427418.77499999991</v>
      </c>
      <c r="J13" s="139">
        <f t="shared" si="3"/>
        <v>442378.43212499982</v>
      </c>
      <c r="K13" s="139">
        <f t="shared" si="3"/>
        <v>457861.6772493748</v>
      </c>
      <c r="L13" s="139">
        <f t="shared" si="3"/>
        <v>473886.83595310285</v>
      </c>
      <c r="M13" s="139">
        <f t="shared" si="3"/>
        <v>490472.87521146139</v>
      </c>
      <c r="N13" s="139">
        <f t="shared" si="3"/>
        <v>507639.42584386253</v>
      </c>
      <c r="O13" s="139">
        <f t="shared" si="3"/>
        <v>525406.8057483976</v>
      </c>
      <c r="P13" s="139">
        <f t="shared" si="3"/>
        <v>543796.04394959158</v>
      </c>
      <c r="Q13" s="139">
        <f t="shared" si="3"/>
        <v>562828.90548782714</v>
      </c>
      <c r="R13" s="139">
        <f t="shared" si="3"/>
        <v>582527.91717990104</v>
      </c>
      <c r="S13" s="139">
        <f t="shared" si="3"/>
        <v>602916.39428119757</v>
      </c>
      <c r="T13" s="139">
        <f t="shared" si="3"/>
        <v>624018.46808103938</v>
      </c>
      <c r="U13" s="71"/>
    </row>
    <row r="15" spans="2:21" x14ac:dyDescent="0.25">
      <c r="B15" s="68" t="s">
        <v>101</v>
      </c>
    </row>
    <row r="16" spans="2:21" x14ac:dyDescent="0.25">
      <c r="B16" s="69" t="s">
        <v>173</v>
      </c>
      <c r="D16" s="134">
        <f>'2.Dashboard'!$D$34</f>
        <v>0.03</v>
      </c>
      <c r="F16" s="145">
        <f>('2.Dashboard'!$D$31*'2.Dashboard'!$M8)*COUNTIFS('4. First Yr. Cash Flow Schedule'!$E$9:$P$9,"&gt;="&amp;DATE(YEAR('2.Dashboard'!$D$20),1,1),'4. First Yr. Cash Flow Schedule'!$E$9:$P$9,"&lt;="&amp;DATE(YEAR('2.Dashboard'!$D$20),12,31))</f>
        <v>39201.75</v>
      </c>
      <c r="G16" s="145">
        <f>'2.Dashboard'!$L8</f>
        <v>52269</v>
      </c>
      <c r="H16" s="145">
        <f t="shared" ref="H16:T16" si="4">G$16*(1+$D$16)</f>
        <v>53837.07</v>
      </c>
      <c r="I16" s="145">
        <f t="shared" si="4"/>
        <v>55452.182099999998</v>
      </c>
      <c r="J16" s="145">
        <f t="shared" si="4"/>
        <v>57115.747562999997</v>
      </c>
      <c r="K16" s="145">
        <f t="shared" si="4"/>
        <v>58829.21998989</v>
      </c>
      <c r="L16" s="145">
        <f t="shared" si="4"/>
        <v>60594.096589586705</v>
      </c>
      <c r="M16" s="145">
        <f t="shared" si="4"/>
        <v>62411.91948727431</v>
      </c>
      <c r="N16" s="145">
        <f t="shared" si="4"/>
        <v>64284.277071892539</v>
      </c>
      <c r="O16" s="145">
        <f t="shared" si="4"/>
        <v>66212.805384049323</v>
      </c>
      <c r="P16" s="145">
        <f t="shared" si="4"/>
        <v>68199.1895455708</v>
      </c>
      <c r="Q16" s="145">
        <f t="shared" si="4"/>
        <v>70245.165231937921</v>
      </c>
      <c r="R16" s="145">
        <f t="shared" si="4"/>
        <v>72352.520188896058</v>
      </c>
      <c r="S16" s="145">
        <f t="shared" si="4"/>
        <v>74523.095794562949</v>
      </c>
      <c r="T16" s="145">
        <f t="shared" si="4"/>
        <v>76758.788668399837</v>
      </c>
    </row>
    <row r="17" spans="2:21" x14ac:dyDescent="0.25">
      <c r="B17" s="69" t="s">
        <v>208</v>
      </c>
      <c r="D17" s="134">
        <f>'2.Dashboard'!$D$34</f>
        <v>0.03</v>
      </c>
      <c r="F17" s="145">
        <f>('2.Dashboard'!$D$31*'2.Dashboard'!$M9)*COUNTIFS('4. First Yr. Cash Flow Schedule'!$E$9:$P$9,"&gt;="&amp;DATE(YEAR('2.Dashboard'!$D$20),1,1),'4. First Yr. Cash Flow Schedule'!$E$9:$P$9,"&lt;="&amp;DATE(YEAR('2.Dashboard'!$D$20),12,31))</f>
        <v>23940</v>
      </c>
      <c r="G17" s="145">
        <f>'2.Dashboard'!$L9</f>
        <v>31920</v>
      </c>
      <c r="H17" s="145">
        <f t="shared" ref="H17:T17" si="5">G17*(1+$D$16)</f>
        <v>32877.599999999999</v>
      </c>
      <c r="I17" s="145">
        <f t="shared" si="5"/>
        <v>33863.928</v>
      </c>
      <c r="J17" s="145">
        <f t="shared" si="5"/>
        <v>34879.845840000002</v>
      </c>
      <c r="K17" s="145">
        <f t="shared" si="5"/>
        <v>35926.241215200003</v>
      </c>
      <c r="L17" s="145">
        <f t="shared" si="5"/>
        <v>37004.028451656006</v>
      </c>
      <c r="M17" s="145">
        <f t="shared" si="5"/>
        <v>38114.14930520569</v>
      </c>
      <c r="N17" s="145">
        <f t="shared" si="5"/>
        <v>39257.573784361863</v>
      </c>
      <c r="O17" s="145">
        <f t="shared" si="5"/>
        <v>40435.300997892722</v>
      </c>
      <c r="P17" s="145">
        <f t="shared" si="5"/>
        <v>41648.360027829505</v>
      </c>
      <c r="Q17" s="145">
        <f t="shared" si="5"/>
        <v>42897.810828664391</v>
      </c>
      <c r="R17" s="145">
        <f t="shared" si="5"/>
        <v>44184.745153524324</v>
      </c>
      <c r="S17" s="145">
        <f t="shared" si="5"/>
        <v>45510.287508130052</v>
      </c>
      <c r="T17" s="145">
        <f t="shared" si="5"/>
        <v>46875.596133373954</v>
      </c>
    </row>
    <row r="18" spans="2:21" x14ac:dyDescent="0.25">
      <c r="B18" s="69" t="s">
        <v>66</v>
      </c>
      <c r="D18" s="134">
        <f>'2.Dashboard'!$D$34</f>
        <v>0.03</v>
      </c>
      <c r="F18" s="145">
        <f>('2.Dashboard'!$D$31*'2.Dashboard'!$M10)*COUNTIFS('4. First Yr. Cash Flow Schedule'!$E$9:$P$9,"&gt;="&amp;DATE(YEAR('2.Dashboard'!$D$20),1,1),'4. First Yr. Cash Flow Schedule'!$E$9:$P$9,"&lt;="&amp;DATE(YEAR('2.Dashboard'!$D$20),12,31))</f>
        <v>0</v>
      </c>
      <c r="G18" s="145">
        <f>'2.Dashboard'!$L10</f>
        <v>0</v>
      </c>
      <c r="H18" s="145">
        <f t="shared" ref="H18:T18" si="6">G18*(1+$D$16)</f>
        <v>0</v>
      </c>
      <c r="I18" s="145">
        <f t="shared" si="6"/>
        <v>0</v>
      </c>
      <c r="J18" s="145">
        <f t="shared" si="6"/>
        <v>0</v>
      </c>
      <c r="K18" s="145">
        <f t="shared" si="6"/>
        <v>0</v>
      </c>
      <c r="L18" s="145">
        <f t="shared" si="6"/>
        <v>0</v>
      </c>
      <c r="M18" s="145">
        <f t="shared" si="6"/>
        <v>0</v>
      </c>
      <c r="N18" s="145">
        <f t="shared" si="6"/>
        <v>0</v>
      </c>
      <c r="O18" s="145">
        <f t="shared" si="6"/>
        <v>0</v>
      </c>
      <c r="P18" s="145">
        <f t="shared" si="6"/>
        <v>0</v>
      </c>
      <c r="Q18" s="145">
        <f t="shared" si="6"/>
        <v>0</v>
      </c>
      <c r="R18" s="145">
        <f t="shared" si="6"/>
        <v>0</v>
      </c>
      <c r="S18" s="145">
        <f t="shared" si="6"/>
        <v>0</v>
      </c>
      <c r="T18" s="145">
        <f t="shared" si="6"/>
        <v>0</v>
      </c>
    </row>
    <row r="19" spans="2:21" x14ac:dyDescent="0.25">
      <c r="B19" s="69" t="s">
        <v>80</v>
      </c>
      <c r="D19" s="134">
        <f>'2.Dashboard'!$D$34</f>
        <v>0.03</v>
      </c>
      <c r="F19" s="145">
        <f>('2.Dashboard'!$D$31*'2.Dashboard'!$M11)*COUNTIFS('4. First Yr. Cash Flow Schedule'!$E$9:$P$9,"&gt;="&amp;DATE(YEAR('2.Dashboard'!$D$20),1,1),'4. First Yr. Cash Flow Schedule'!$E$9:$P$9,"&lt;="&amp;DATE(YEAR('2.Dashboard'!$D$20),12,31))</f>
        <v>23940</v>
      </c>
      <c r="G19" s="145">
        <f>'2.Dashboard'!$L11</f>
        <v>31920</v>
      </c>
      <c r="H19" s="145">
        <f t="shared" ref="H19:T19" si="7">G19*(1+$D$16)</f>
        <v>32877.599999999999</v>
      </c>
      <c r="I19" s="145">
        <f t="shared" si="7"/>
        <v>33863.928</v>
      </c>
      <c r="J19" s="145">
        <f t="shared" si="7"/>
        <v>34879.845840000002</v>
      </c>
      <c r="K19" s="145">
        <f t="shared" si="7"/>
        <v>35926.241215200003</v>
      </c>
      <c r="L19" s="145">
        <f t="shared" si="7"/>
        <v>37004.028451656006</v>
      </c>
      <c r="M19" s="145">
        <f t="shared" si="7"/>
        <v>38114.14930520569</v>
      </c>
      <c r="N19" s="145">
        <f t="shared" si="7"/>
        <v>39257.573784361863</v>
      </c>
      <c r="O19" s="145">
        <f t="shared" si="7"/>
        <v>40435.300997892722</v>
      </c>
      <c r="P19" s="145">
        <f t="shared" si="7"/>
        <v>41648.360027829505</v>
      </c>
      <c r="Q19" s="145">
        <f t="shared" si="7"/>
        <v>42897.810828664391</v>
      </c>
      <c r="R19" s="145">
        <f t="shared" si="7"/>
        <v>44184.745153524324</v>
      </c>
      <c r="S19" s="145">
        <f t="shared" si="7"/>
        <v>45510.287508130052</v>
      </c>
      <c r="T19" s="145">
        <f t="shared" si="7"/>
        <v>46875.596133373954</v>
      </c>
    </row>
    <row r="20" spans="2:21" x14ac:dyDescent="0.25">
      <c r="B20" s="69" t="s">
        <v>209</v>
      </c>
      <c r="D20" s="134">
        <f>'2.Dashboard'!$D$34</f>
        <v>0.03</v>
      </c>
      <c r="F20" s="145">
        <f>('2.Dashboard'!$D$31*'2.Dashboard'!$M12)*COUNTIFS('4. First Yr. Cash Flow Schedule'!$E$9:$P$9,"&gt;="&amp;DATE(YEAR('2.Dashboard'!$D$20),1,1),'4. First Yr. Cash Flow Schedule'!$E$9:$P$9,"&lt;="&amp;DATE(YEAR('2.Dashboard'!$D$20),12,31))</f>
        <v>8977.5</v>
      </c>
      <c r="G20" s="145">
        <f>'2.Dashboard'!$L12</f>
        <v>11970</v>
      </c>
      <c r="H20" s="145">
        <f t="shared" ref="H20:T20" si="8">G20*(1+$D$16)</f>
        <v>12329.1</v>
      </c>
      <c r="I20" s="145">
        <f t="shared" si="8"/>
        <v>12698.973</v>
      </c>
      <c r="J20" s="145">
        <f t="shared" si="8"/>
        <v>13079.94219</v>
      </c>
      <c r="K20" s="145">
        <f t="shared" si="8"/>
        <v>13472.340455699999</v>
      </c>
      <c r="L20" s="145">
        <f t="shared" si="8"/>
        <v>13876.510669371</v>
      </c>
      <c r="M20" s="145">
        <f t="shared" si="8"/>
        <v>14292.80598945213</v>
      </c>
      <c r="N20" s="145">
        <f t="shared" si="8"/>
        <v>14721.590169135694</v>
      </c>
      <c r="O20" s="145">
        <f t="shared" si="8"/>
        <v>15163.237874209764</v>
      </c>
      <c r="P20" s="145">
        <f t="shared" si="8"/>
        <v>15618.135010436057</v>
      </c>
      <c r="Q20" s="145">
        <f t="shared" si="8"/>
        <v>16086.679060749138</v>
      </c>
      <c r="R20" s="145">
        <f t="shared" si="8"/>
        <v>16569.279432571613</v>
      </c>
      <c r="S20" s="145">
        <f t="shared" si="8"/>
        <v>17066.357815548763</v>
      </c>
      <c r="T20" s="145">
        <f t="shared" si="8"/>
        <v>17578.348550015227</v>
      </c>
    </row>
    <row r="21" spans="2:21" x14ac:dyDescent="0.25">
      <c r="B21" s="69" t="s">
        <v>210</v>
      </c>
      <c r="D21" s="134">
        <f>'2.Dashboard'!$D$34</f>
        <v>0.03</v>
      </c>
      <c r="F21" s="145">
        <f>('2.Dashboard'!$D$31*'2.Dashboard'!$M13)*COUNTIFS('4. First Yr. Cash Flow Schedule'!$E$9:$P$9,"&gt;="&amp;DATE(YEAR('2.Dashboard'!$D$20),1,1),'4. First Yr. Cash Flow Schedule'!$E$9:$P$9,"&lt;="&amp;DATE(YEAR('2.Dashboard'!$D$20),12,31))</f>
        <v>8977.5</v>
      </c>
      <c r="G21" s="145">
        <f>'2.Dashboard'!$L13</f>
        <v>11970</v>
      </c>
      <c r="H21" s="145">
        <f t="shared" ref="H21:T21" si="9">G21*(1+$D$16)</f>
        <v>12329.1</v>
      </c>
      <c r="I21" s="145">
        <f t="shared" si="9"/>
        <v>12698.973</v>
      </c>
      <c r="J21" s="145">
        <f t="shared" si="9"/>
        <v>13079.94219</v>
      </c>
      <c r="K21" s="145">
        <f t="shared" si="9"/>
        <v>13472.340455699999</v>
      </c>
      <c r="L21" s="145">
        <f t="shared" si="9"/>
        <v>13876.510669371</v>
      </c>
      <c r="M21" s="145">
        <f t="shared" si="9"/>
        <v>14292.80598945213</v>
      </c>
      <c r="N21" s="145">
        <f t="shared" si="9"/>
        <v>14721.590169135694</v>
      </c>
      <c r="O21" s="145">
        <f t="shared" si="9"/>
        <v>15163.237874209764</v>
      </c>
      <c r="P21" s="145">
        <f t="shared" si="9"/>
        <v>15618.135010436057</v>
      </c>
      <c r="Q21" s="145">
        <f t="shared" si="9"/>
        <v>16086.679060749138</v>
      </c>
      <c r="R21" s="145">
        <f t="shared" si="9"/>
        <v>16569.279432571613</v>
      </c>
      <c r="S21" s="145">
        <f t="shared" si="9"/>
        <v>17066.357815548763</v>
      </c>
      <c r="T21" s="145">
        <f t="shared" si="9"/>
        <v>17578.348550015227</v>
      </c>
    </row>
    <row r="22" spans="2:21" x14ac:dyDescent="0.25">
      <c r="B22" s="69" t="s">
        <v>70</v>
      </c>
      <c r="D22" s="134">
        <f>'2.Dashboard'!$D$34</f>
        <v>0.03</v>
      </c>
      <c r="F22" s="145">
        <f>('2.Dashboard'!$D$31*'2.Dashboard'!$M14)*COUNTIFS('4. First Yr. Cash Flow Schedule'!$E$9:$P$9,"&gt;="&amp;DATE(YEAR('2.Dashboard'!$D$20),1,1),'4. First Yr. Cash Flow Schedule'!$E$9:$P$9,"&lt;="&amp;DATE(YEAR('2.Dashboard'!$D$20),12,31))</f>
        <v>0</v>
      </c>
      <c r="G22" s="145">
        <f>'2.Dashboard'!$L14</f>
        <v>0</v>
      </c>
      <c r="H22" s="145">
        <f>'2.Dashboard'!$L14</f>
        <v>0</v>
      </c>
      <c r="I22" s="145">
        <f>'2.Dashboard'!$L14</f>
        <v>0</v>
      </c>
      <c r="J22" s="145">
        <f>'2.Dashboard'!$L14</f>
        <v>0</v>
      </c>
      <c r="K22" s="145">
        <f>'2.Dashboard'!$L14</f>
        <v>0</v>
      </c>
      <c r="L22" s="145">
        <f>'2.Dashboard'!$L14</f>
        <v>0</v>
      </c>
      <c r="M22" s="145">
        <f>'2.Dashboard'!$L14</f>
        <v>0</v>
      </c>
      <c r="N22" s="145">
        <f>'2.Dashboard'!$L14</f>
        <v>0</v>
      </c>
      <c r="O22" s="145">
        <f>'2.Dashboard'!$L14</f>
        <v>0</v>
      </c>
      <c r="P22" s="145">
        <f>'2.Dashboard'!$L14</f>
        <v>0</v>
      </c>
      <c r="Q22" s="145">
        <f>'2.Dashboard'!$L14</f>
        <v>0</v>
      </c>
      <c r="R22" s="145">
        <f>'2.Dashboard'!$L14</f>
        <v>0</v>
      </c>
      <c r="S22" s="145">
        <f>'2.Dashboard'!$L14</f>
        <v>0</v>
      </c>
      <c r="T22" s="145">
        <f>'2.Dashboard'!$L14</f>
        <v>0</v>
      </c>
    </row>
    <row r="23" spans="2:21" x14ac:dyDescent="0.25">
      <c r="B23" s="70" t="s">
        <v>103</v>
      </c>
      <c r="C23" s="71"/>
      <c r="D23" s="71"/>
      <c r="E23" s="71"/>
      <c r="F23" s="152">
        <f t="shared" ref="F23:T23" si="10">SUM(F$16:F$22)</f>
        <v>105036.75</v>
      </c>
      <c r="G23" s="139">
        <f t="shared" si="10"/>
        <v>140049</v>
      </c>
      <c r="H23" s="139">
        <f t="shared" si="10"/>
        <v>144250.47</v>
      </c>
      <c r="I23" s="139">
        <f t="shared" si="10"/>
        <v>148577.9841</v>
      </c>
      <c r="J23" s="139">
        <f t="shared" si="10"/>
        <v>153035.323623</v>
      </c>
      <c r="K23" s="139">
        <f t="shared" si="10"/>
        <v>157626.38333169001</v>
      </c>
      <c r="L23" s="139">
        <f t="shared" si="10"/>
        <v>162355.17483164073</v>
      </c>
      <c r="M23" s="139">
        <f t="shared" si="10"/>
        <v>167225.83007658998</v>
      </c>
      <c r="N23" s="139">
        <f t="shared" si="10"/>
        <v>172242.60497888763</v>
      </c>
      <c r="O23" s="139">
        <f t="shared" si="10"/>
        <v>177409.8831282543</v>
      </c>
      <c r="P23" s="139">
        <f t="shared" si="10"/>
        <v>182732.17962210195</v>
      </c>
      <c r="Q23" s="139">
        <f t="shared" si="10"/>
        <v>188214.14501076497</v>
      </c>
      <c r="R23" s="139">
        <f t="shared" si="10"/>
        <v>193860.56936108792</v>
      </c>
      <c r="S23" s="139">
        <f t="shared" si="10"/>
        <v>199676.38644192059</v>
      </c>
      <c r="T23" s="139">
        <f t="shared" si="10"/>
        <v>205666.67803517816</v>
      </c>
      <c r="U23" s="71"/>
    </row>
    <row r="25" spans="2:21" ht="14.25" thickBot="1" x14ac:dyDescent="0.3">
      <c r="B25" s="72" t="s">
        <v>72</v>
      </c>
      <c r="C25" s="73"/>
      <c r="D25" s="73"/>
      <c r="E25" s="73"/>
      <c r="F25" s="74">
        <f t="shared" ref="F25:T25" si="11">F$13-F$23</f>
        <v>194213.25</v>
      </c>
      <c r="G25" s="74">
        <f t="shared" si="11"/>
        <v>258951</v>
      </c>
      <c r="H25" s="74">
        <f t="shared" si="11"/>
        <v>268714.52999999991</v>
      </c>
      <c r="I25" s="74">
        <f t="shared" si="11"/>
        <v>278840.79089999991</v>
      </c>
      <c r="J25" s="74">
        <f t="shared" si="11"/>
        <v>289343.10850199981</v>
      </c>
      <c r="K25" s="74">
        <f t="shared" si="11"/>
        <v>300235.29391768482</v>
      </c>
      <c r="L25" s="74">
        <f t="shared" si="11"/>
        <v>311531.66112146212</v>
      </c>
      <c r="M25" s="74">
        <f t="shared" si="11"/>
        <v>323247.04513487138</v>
      </c>
      <c r="N25" s="74">
        <f t="shared" si="11"/>
        <v>335396.82086497487</v>
      </c>
      <c r="O25" s="74">
        <f t="shared" si="11"/>
        <v>347996.92262014328</v>
      </c>
      <c r="P25" s="74">
        <f t="shared" si="11"/>
        <v>361063.86432748963</v>
      </c>
      <c r="Q25" s="74">
        <f t="shared" si="11"/>
        <v>374614.7604770622</v>
      </c>
      <c r="R25" s="74">
        <f t="shared" si="11"/>
        <v>388667.34781881311</v>
      </c>
      <c r="S25" s="74">
        <f t="shared" si="11"/>
        <v>403240.00783927698</v>
      </c>
      <c r="T25" s="74">
        <f t="shared" si="11"/>
        <v>418351.79004586121</v>
      </c>
      <c r="U25" s="73"/>
    </row>
    <row r="26" spans="2:21" ht="14.25" thickTop="1" x14ac:dyDescent="0.25">
      <c r="B26" s="75" t="s">
        <v>82</v>
      </c>
      <c r="F26" s="76">
        <f t="shared" ref="F26:T26" si="12">F$25/F$13</f>
        <v>0.64900000000000002</v>
      </c>
      <c r="G26" s="76">
        <f t="shared" si="12"/>
        <v>0.64900000000000002</v>
      </c>
      <c r="H26" s="76">
        <f t="shared" si="12"/>
        <v>0.6506956521739129</v>
      </c>
      <c r="I26" s="76">
        <f t="shared" si="12"/>
        <v>0.65238311279143024</v>
      </c>
      <c r="J26" s="76">
        <f t="shared" si="12"/>
        <v>0.65406242142528803</v>
      </c>
      <c r="K26" s="76">
        <f t="shared" si="12"/>
        <v>0.65573361745704994</v>
      </c>
      <c r="L26" s="76">
        <f t="shared" si="12"/>
        <v>0.65739674007803028</v>
      </c>
      <c r="M26" s="76">
        <f t="shared" si="12"/>
        <v>0.65905182829021358</v>
      </c>
      <c r="N26" s="76">
        <f t="shared" si="12"/>
        <v>0.66069892090716908</v>
      </c>
      <c r="O26" s="76">
        <f t="shared" si="12"/>
        <v>0.66233805655496047</v>
      </c>
      <c r="P26" s="76">
        <f t="shared" si="12"/>
        <v>0.66396927367305247</v>
      </c>
      <c r="Q26" s="76">
        <f t="shared" si="12"/>
        <v>0.66559261051521168</v>
      </c>
      <c r="R26" s="76">
        <f t="shared" si="12"/>
        <v>0.66720810515040374</v>
      </c>
      <c r="S26" s="76">
        <f t="shared" si="12"/>
        <v>0.66881579546368675</v>
      </c>
      <c r="T26" s="76">
        <f t="shared" si="12"/>
        <v>0.67041571915709897</v>
      </c>
    </row>
    <row r="28" spans="2:21" x14ac:dyDescent="0.25">
      <c r="B28" s="78" t="s">
        <v>57</v>
      </c>
      <c r="C28" s="78"/>
      <c r="D28" s="140"/>
      <c r="E28" s="78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</row>
    <row r="29" spans="2:21" x14ac:dyDescent="0.25">
      <c r="B29" s="87" t="s">
        <v>83</v>
      </c>
      <c r="C29" s="87"/>
      <c r="D29" s="141"/>
      <c r="E29" s="87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</row>
    <row r="31" spans="2:21" ht="14.25" thickBot="1" x14ac:dyDescent="0.3">
      <c r="B31" s="72" t="s">
        <v>84</v>
      </c>
      <c r="C31" s="73"/>
      <c r="D31" s="73"/>
      <c r="E31" s="73"/>
      <c r="F31" s="74">
        <f t="shared" ref="F31:T31" si="13">F25-F28-F29</f>
        <v>194213.25</v>
      </c>
      <c r="G31" s="74">
        <f t="shared" si="13"/>
        <v>258951</v>
      </c>
      <c r="H31" s="74">
        <f t="shared" si="13"/>
        <v>268714.52999999991</v>
      </c>
      <c r="I31" s="74">
        <f t="shared" si="13"/>
        <v>278840.79089999991</v>
      </c>
      <c r="J31" s="74">
        <f t="shared" si="13"/>
        <v>289343.10850199981</v>
      </c>
      <c r="K31" s="74">
        <f t="shared" si="13"/>
        <v>300235.29391768482</v>
      </c>
      <c r="L31" s="74">
        <f t="shared" si="13"/>
        <v>311531.66112146212</v>
      </c>
      <c r="M31" s="74">
        <f t="shared" si="13"/>
        <v>323247.04513487138</v>
      </c>
      <c r="N31" s="74">
        <f t="shared" si="13"/>
        <v>335396.82086497487</v>
      </c>
      <c r="O31" s="74">
        <f t="shared" si="13"/>
        <v>347996.92262014328</v>
      </c>
      <c r="P31" s="74">
        <f t="shared" si="13"/>
        <v>361063.86432748963</v>
      </c>
      <c r="Q31" s="74">
        <f t="shared" si="13"/>
        <v>374614.7604770622</v>
      </c>
      <c r="R31" s="74">
        <f t="shared" si="13"/>
        <v>388667.34781881311</v>
      </c>
      <c r="S31" s="74">
        <f t="shared" si="13"/>
        <v>403240.00783927698</v>
      </c>
      <c r="T31" s="74">
        <f t="shared" si="13"/>
        <v>418351.79004586121</v>
      </c>
      <c r="U31" s="73"/>
    </row>
    <row r="32" spans="2:21" ht="14.25" thickTop="1" x14ac:dyDescent="0.25">
      <c r="B32" s="75" t="s">
        <v>85</v>
      </c>
      <c r="F32" s="76">
        <f t="shared" ref="F32:T32" si="14">F31/F13</f>
        <v>0.64900000000000002</v>
      </c>
      <c r="G32" s="76">
        <f t="shared" si="14"/>
        <v>0.64900000000000002</v>
      </c>
      <c r="H32" s="76">
        <f t="shared" si="14"/>
        <v>0.6506956521739129</v>
      </c>
      <c r="I32" s="76">
        <f t="shared" si="14"/>
        <v>0.65238311279143024</v>
      </c>
      <c r="J32" s="76">
        <f t="shared" si="14"/>
        <v>0.65406242142528803</v>
      </c>
      <c r="K32" s="76">
        <f t="shared" si="14"/>
        <v>0.65573361745704994</v>
      </c>
      <c r="L32" s="76">
        <f t="shared" si="14"/>
        <v>0.65739674007803028</v>
      </c>
      <c r="M32" s="76">
        <f t="shared" si="14"/>
        <v>0.65905182829021358</v>
      </c>
      <c r="N32" s="76">
        <f t="shared" si="14"/>
        <v>0.66069892090716908</v>
      </c>
      <c r="O32" s="76">
        <f t="shared" si="14"/>
        <v>0.66233805655496047</v>
      </c>
      <c r="P32" s="76">
        <f t="shared" si="14"/>
        <v>0.66396927367305247</v>
      </c>
      <c r="Q32" s="76">
        <f t="shared" si="14"/>
        <v>0.66559261051521168</v>
      </c>
      <c r="R32" s="76">
        <f t="shared" si="14"/>
        <v>0.66720810515040374</v>
      </c>
      <c r="S32" s="76">
        <f t="shared" si="14"/>
        <v>0.66881579546368675</v>
      </c>
      <c r="T32" s="76">
        <f t="shared" si="14"/>
        <v>0.67041571915709897</v>
      </c>
    </row>
    <row r="33" spans="2:21" x14ac:dyDescent="0.25">
      <c r="B33" s="75"/>
    </row>
    <row r="34" spans="2:21" x14ac:dyDescent="0.25">
      <c r="B34" s="68" t="s">
        <v>89</v>
      </c>
    </row>
    <row r="35" spans="2:21" x14ac:dyDescent="0.25">
      <c r="B35" s="69" t="s">
        <v>174</v>
      </c>
      <c r="F35" s="95">
        <f>'2.Dashboard'!$H$47*COUNTIFS('4. First Yr. Cash Flow Schedule'!$E$9:$P$9,"&gt;="&amp;DATE(YEAR('2.Dashboard'!$D$20),1,1),'4. First Yr. Cash Flow Schedule'!$E$9:$P$9,"&lt;="&amp;DATE(YEAR('2.Dashboard'!$D$20),12,31))</f>
        <v>160474.3123074196</v>
      </c>
      <c r="G35" s="95">
        <f>'2.Dashboard'!$H$48</f>
        <v>213965.74974322613</v>
      </c>
      <c r="H35" s="95">
        <f>'2.Dashboard'!$H$48</f>
        <v>213965.74974322613</v>
      </c>
      <c r="I35" s="95">
        <f>'2.Dashboard'!$H$48</f>
        <v>213965.74974322613</v>
      </c>
      <c r="J35" s="95">
        <f>'2.Dashboard'!$H$48</f>
        <v>213965.74974322613</v>
      </c>
      <c r="K35" s="95">
        <f>'2.Dashboard'!$H$48</f>
        <v>213965.74974322613</v>
      </c>
      <c r="L35" s="95">
        <f>'2.Dashboard'!$H$48</f>
        <v>213965.74974322613</v>
      </c>
      <c r="M35" s="95">
        <f>'2.Dashboard'!$H$48</f>
        <v>213965.74974322613</v>
      </c>
      <c r="N35" s="95">
        <f>'2.Dashboard'!$H$48</f>
        <v>213965.74974322613</v>
      </c>
      <c r="O35" s="95">
        <f>'2.Dashboard'!$H$48</f>
        <v>213965.74974322613</v>
      </c>
      <c r="P35" s="95">
        <f>'2.Dashboard'!$H$48</f>
        <v>213965.74974322613</v>
      </c>
      <c r="Q35" s="95">
        <f>'2.Dashboard'!$H$48</f>
        <v>213965.74974322613</v>
      </c>
      <c r="R35" s="95">
        <f>'2.Dashboard'!$H$48</f>
        <v>213965.74974322613</v>
      </c>
      <c r="S35" s="95">
        <f>'2.Dashboard'!$H$48</f>
        <v>213965.74974322613</v>
      </c>
      <c r="T35" s="95">
        <f>'2.Dashboard'!$H$48</f>
        <v>213965.74974322613</v>
      </c>
    </row>
    <row r="36" spans="2:21" x14ac:dyDescent="0.25">
      <c r="B36" s="69" t="s">
        <v>175</v>
      </c>
      <c r="F36" s="95">
        <f>IFERROR('3. Analysis'!$J$28*COUNTIFS('4. First Yr. Cash Flow Schedule'!$E$9:$P$9,"&gt;="&amp;DATE(YEAR('3. Analysis'!$B$23)+1,1,1),'4. First Yr. Cash Flow Schedule'!$E$9:$P$9,"&lt;="&amp;DATE(YEAR('3. Analysis'!$B$23)+1,12,31)),0)</f>
        <v>0</v>
      </c>
      <c r="G36" s="95">
        <v>0</v>
      </c>
      <c r="H36" s="95">
        <v>0</v>
      </c>
      <c r="I36" s="95">
        <v>0</v>
      </c>
      <c r="J36" s="95">
        <v>0</v>
      </c>
      <c r="K36" s="95">
        <v>0</v>
      </c>
      <c r="L36" s="95">
        <v>0</v>
      </c>
      <c r="M36" s="95">
        <v>0</v>
      </c>
      <c r="N36" s="95">
        <v>0</v>
      </c>
      <c r="O36" s="95">
        <v>0</v>
      </c>
      <c r="P36" s="95">
        <v>0</v>
      </c>
      <c r="Q36" s="95">
        <v>0</v>
      </c>
      <c r="R36" s="95">
        <v>0</v>
      </c>
      <c r="S36" s="95">
        <v>0</v>
      </c>
      <c r="T36" s="95">
        <v>0</v>
      </c>
    </row>
    <row r="38" spans="2:21" x14ac:dyDescent="0.25">
      <c r="B38" s="70" t="s">
        <v>90</v>
      </c>
      <c r="C38" s="71"/>
      <c r="D38" s="71"/>
      <c r="E38" s="71"/>
      <c r="F38" s="331">
        <f t="shared" ref="F38:T38" si="15">F31-F35-F36</f>
        <v>33738.937692580395</v>
      </c>
      <c r="G38" s="331">
        <f t="shared" si="15"/>
        <v>44985.25025677387</v>
      </c>
      <c r="H38" s="331">
        <f t="shared" si="15"/>
        <v>54748.780256773782</v>
      </c>
      <c r="I38" s="331">
        <f t="shared" si="15"/>
        <v>64875.041156773776</v>
      </c>
      <c r="J38" s="331">
        <f t="shared" si="15"/>
        <v>75377.358758773684</v>
      </c>
      <c r="K38" s="331">
        <f t="shared" si="15"/>
        <v>86269.544174458686</v>
      </c>
      <c r="L38" s="331">
        <f t="shared" si="15"/>
        <v>97565.911378235993</v>
      </c>
      <c r="M38" s="331">
        <f t="shared" si="15"/>
        <v>109281.29539164525</v>
      </c>
      <c r="N38" s="331">
        <f t="shared" si="15"/>
        <v>121431.07112174874</v>
      </c>
      <c r="O38" s="331">
        <f t="shared" si="15"/>
        <v>134031.17287691715</v>
      </c>
      <c r="P38" s="331">
        <f t="shared" si="15"/>
        <v>147098.1145842635</v>
      </c>
      <c r="Q38" s="331">
        <f t="shared" si="15"/>
        <v>160649.01073383607</v>
      </c>
      <c r="R38" s="331">
        <f t="shared" si="15"/>
        <v>174701.59807558698</v>
      </c>
      <c r="S38" s="331">
        <f t="shared" si="15"/>
        <v>189274.25809605085</v>
      </c>
      <c r="T38" s="331">
        <f t="shared" si="15"/>
        <v>204386.04030263508</v>
      </c>
      <c r="U38" s="7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84BE1-55F9-4207-9732-0A65F9697127}">
  <dimension ref="A1:AA374"/>
  <sheetViews>
    <sheetView showGridLines="0" zoomScale="85" zoomScaleNormal="85" workbookViewId="0">
      <selection activeCell="M16" sqref="M16"/>
    </sheetView>
  </sheetViews>
  <sheetFormatPr defaultColWidth="10.5703125" defaultRowHeight="15.75" x14ac:dyDescent="0.25"/>
  <cols>
    <col min="1" max="1" width="3.42578125" style="99" customWidth="1"/>
    <col min="2" max="2" width="5.7109375" style="99" customWidth="1"/>
    <col min="3" max="3" width="10.5703125" style="98"/>
    <col min="4" max="4" width="21.5703125" style="99" customWidth="1"/>
    <col min="5" max="5" width="2.5703125" style="99" customWidth="1"/>
    <col min="6" max="6" width="16.85546875" style="99" customWidth="1"/>
    <col min="7" max="7" width="2.5703125" style="99" customWidth="1"/>
    <col min="8" max="8" width="13.85546875" style="99" customWidth="1"/>
    <col min="9" max="9" width="2.5703125" style="99" customWidth="1"/>
    <col min="10" max="10" width="12" style="99" customWidth="1"/>
    <col min="11" max="11" width="13" style="99" customWidth="1"/>
    <col min="12" max="12" width="11.42578125" style="99" bestFit="1" customWidth="1"/>
    <col min="13" max="13" width="12.7109375" style="99" customWidth="1"/>
    <col min="14" max="14" width="21.42578125" style="99" customWidth="1"/>
    <col min="15" max="15" width="14" style="99" bestFit="1" customWidth="1"/>
    <col min="16" max="16" width="10.5703125" style="99"/>
    <col min="17" max="17" width="12.5703125" style="99" bestFit="1" customWidth="1"/>
    <col min="18" max="19" width="10.5703125" style="99"/>
    <col min="20" max="20" width="14.42578125" style="99" customWidth="1"/>
    <col min="21" max="21" width="11.7109375" style="99" bestFit="1" customWidth="1"/>
    <col min="22" max="22" width="15.140625" style="99" customWidth="1"/>
    <col min="23" max="16384" width="10.5703125" style="99"/>
  </cols>
  <sheetData>
    <row r="1" spans="1:27" x14ac:dyDescent="0.25">
      <c r="A1" s="97" t="s">
        <v>105</v>
      </c>
      <c r="B1" s="97"/>
    </row>
    <row r="2" spans="1:27" ht="30.75" customHeight="1" x14ac:dyDescent="0.25">
      <c r="C2" s="100"/>
      <c r="D2" s="101"/>
      <c r="E2" s="101"/>
      <c r="F2" s="101"/>
    </row>
    <row r="3" spans="1:27" ht="30.75" customHeight="1" thickBot="1" x14ac:dyDescent="0.3">
      <c r="C3" s="100"/>
      <c r="D3" s="101"/>
      <c r="E3" s="101"/>
      <c r="F3" s="101"/>
    </row>
    <row r="4" spans="1:27" ht="30.75" customHeight="1" thickBot="1" x14ac:dyDescent="0.3">
      <c r="C4" s="125" t="s">
        <v>167</v>
      </c>
      <c r="D4" s="102"/>
      <c r="E4" s="102"/>
      <c r="F4" s="102"/>
      <c r="G4" s="103"/>
      <c r="H4" s="103"/>
      <c r="I4" s="103"/>
      <c r="J4" s="103"/>
      <c r="K4" s="103"/>
      <c r="L4" s="103"/>
      <c r="M4" s="103"/>
      <c r="N4" s="103"/>
      <c r="O4" s="104"/>
    </row>
    <row r="6" spans="1:27" x14ac:dyDescent="0.25">
      <c r="D6" s="99" t="s">
        <v>155</v>
      </c>
      <c r="F6" s="105">
        <f>'2.Dashboard'!$H$28</f>
        <v>2430000</v>
      </c>
      <c r="G6" s="106"/>
      <c r="H6" s="394" t="str">
        <f>IF(ROUND(F6,0)-ROUND(H12,0)=0,"Repayment Correct", "FIX REPAYMENT")</f>
        <v>Repayment Correct</v>
      </c>
      <c r="I6" s="394"/>
      <c r="J6" s="394"/>
      <c r="K6" s="108" t="s">
        <v>156</v>
      </c>
      <c r="L6" s="108"/>
      <c r="M6" s="395">
        <v>0</v>
      </c>
      <c r="N6" s="395"/>
    </row>
    <row r="7" spans="1:27" x14ac:dyDescent="0.25">
      <c r="D7" s="99" t="s">
        <v>157</v>
      </c>
      <c r="F7" s="109">
        <f>'2.Dashboard'!$H$31</f>
        <v>30</v>
      </c>
      <c r="G7" s="106"/>
      <c r="H7" s="107"/>
      <c r="I7" s="107"/>
      <c r="J7" s="107"/>
      <c r="K7" s="108" t="s">
        <v>158</v>
      </c>
      <c r="L7" s="108"/>
      <c r="M7" s="396">
        <f>M6*12</f>
        <v>0</v>
      </c>
      <c r="N7" s="396"/>
    </row>
    <row r="8" spans="1:27" x14ac:dyDescent="0.25">
      <c r="D8" s="99" t="s">
        <v>159</v>
      </c>
      <c r="F8" s="109">
        <f>F7-M6</f>
        <v>30</v>
      </c>
      <c r="G8" s="110"/>
      <c r="H8" s="397">
        <f>F8*12</f>
        <v>360</v>
      </c>
      <c r="I8" s="397"/>
      <c r="J8" s="397"/>
      <c r="K8" s="111" t="s">
        <v>160</v>
      </c>
    </row>
    <row r="9" spans="1:27" x14ac:dyDescent="0.25">
      <c r="D9" s="99" t="s">
        <v>161</v>
      </c>
      <c r="F9" s="112">
        <f>'2.Dashboard'!$H$29</f>
        <v>0.08</v>
      </c>
      <c r="G9" s="113"/>
      <c r="O9" s="154"/>
    </row>
    <row r="10" spans="1:27" x14ac:dyDescent="0.25">
      <c r="D10" s="99" t="s">
        <v>162</v>
      </c>
      <c r="F10" s="112">
        <f>F9/12</f>
        <v>6.6666666666666671E-3</v>
      </c>
    </row>
    <row r="11" spans="1:27" ht="16.5" thickBot="1" x14ac:dyDescent="0.3">
      <c r="F11" s="112"/>
    </row>
    <row r="12" spans="1:27" ht="16.5" thickBot="1" x14ac:dyDescent="0.3">
      <c r="D12" s="101" t="s">
        <v>163</v>
      </c>
      <c r="E12" s="101"/>
      <c r="F12" s="114">
        <f>SUM(F15:F374)</f>
        <v>6418972.4922968019</v>
      </c>
      <c r="G12" s="101"/>
      <c r="H12" s="115">
        <f>ROUND(SUM(H15:H374),0)</f>
        <v>2430000</v>
      </c>
      <c r="I12" s="101"/>
      <c r="J12" s="115">
        <f>SUM(J15:J374)</f>
        <v>3988972.4922970315</v>
      </c>
      <c r="N12" s="116" t="s">
        <v>168</v>
      </c>
      <c r="O12" s="129"/>
    </row>
    <row r="13" spans="1:27" ht="16.5" thickBot="1" x14ac:dyDescent="0.3">
      <c r="H13" s="105"/>
      <c r="N13" s="126" t="s">
        <v>108</v>
      </c>
      <c r="O13" s="130">
        <f>$F$15</f>
        <v>17830.479145268844</v>
      </c>
    </row>
    <row r="14" spans="1:27" s="117" customFormat="1" ht="32.25" thickBot="1" x14ac:dyDescent="0.3">
      <c r="B14" s="118" t="s">
        <v>95</v>
      </c>
      <c r="C14" s="118" t="s">
        <v>58</v>
      </c>
      <c r="D14" s="119" t="s">
        <v>106</v>
      </c>
      <c r="E14" s="119"/>
      <c r="F14" s="119" t="s">
        <v>164</v>
      </c>
      <c r="G14" s="119"/>
      <c r="H14" s="119" t="s">
        <v>165</v>
      </c>
      <c r="I14" s="119"/>
      <c r="J14" s="119" t="s">
        <v>166</v>
      </c>
      <c r="K14" s="120" t="s">
        <v>107</v>
      </c>
      <c r="N14" s="127" t="s">
        <v>169</v>
      </c>
      <c r="O14" s="131">
        <f>COUNT($F15:$F374)</f>
        <v>360</v>
      </c>
      <c r="S14" s="121"/>
      <c r="T14" s="121"/>
      <c r="U14" s="121"/>
      <c r="V14" s="121"/>
      <c r="W14" s="121"/>
      <c r="X14" s="121"/>
      <c r="Y14" s="121"/>
      <c r="Z14" s="121"/>
    </row>
    <row r="15" spans="1:27" x14ac:dyDescent="0.25">
      <c r="A15" s="122"/>
      <c r="B15" s="308">
        <f>ROUNDUP(C15/12,0)</f>
        <v>1</v>
      </c>
      <c r="C15" s="123">
        <v>1</v>
      </c>
      <c r="D15" s="122">
        <f>F6</f>
        <v>2430000</v>
      </c>
      <c r="F15" s="122">
        <f>-IF(AND($M$6&gt;0,C15&lt;=$M$7),-$F$10*$F$6,PMT($F$10,$H$8,$F$6,,0))*IF(C15&gt;$H$8+$M$7,0,1)</f>
        <v>17830.479145268844</v>
      </c>
      <c r="G15" s="122"/>
      <c r="H15" s="122">
        <f>IF(AND($M$6&gt;0,C15&lt;=$M$7),0,D15-K15)</f>
        <v>1630.479145268444</v>
      </c>
      <c r="I15" s="122"/>
      <c r="J15" s="122">
        <f>F15-H15</f>
        <v>16200.0000000004</v>
      </c>
      <c r="K15" s="122">
        <f>-FV($F$10,1,-F15,D15)</f>
        <v>2428369.5208547316</v>
      </c>
      <c r="N15" s="127" t="s">
        <v>170</v>
      </c>
      <c r="O15" s="133">
        <f>$H$12</f>
        <v>2430000</v>
      </c>
      <c r="Q15" s="154"/>
      <c r="S15" s="121"/>
      <c r="T15" s="121"/>
      <c r="U15" s="121"/>
      <c r="V15" s="121"/>
      <c r="W15" s="121"/>
      <c r="X15" s="121"/>
      <c r="Y15" s="121"/>
      <c r="Z15" s="121"/>
    </row>
    <row r="16" spans="1:27" ht="16.5" thickBot="1" x14ac:dyDescent="0.3">
      <c r="A16" s="122"/>
      <c r="B16" s="308">
        <f t="shared" ref="B16:B79" si="0">ROUNDUP(C16/12,0)</f>
        <v>1</v>
      </c>
      <c r="C16" s="98">
        <f t="shared" ref="C16:C79" si="1">C15+1</f>
        <v>2</v>
      </c>
      <c r="D16" s="122">
        <f t="shared" ref="D16:D79" si="2">IF(C16&gt;$H$8+$M$7,0,K15)</f>
        <v>2428369.5208547316</v>
      </c>
      <c r="F16" s="122">
        <f t="shared" ref="F16:F79" si="3">-IF(AND($M$6&gt;0,C16&lt;=$M$7),-$F$10*$F$6,PMT($F$10,$H$8,$F$6,,0))*IF(C16&gt;$H$8+$M$7,0,1)</f>
        <v>17830.479145268844</v>
      </c>
      <c r="G16" s="122"/>
      <c r="H16" s="122">
        <f t="shared" ref="H16:H79" si="4">IF(AND($M$6&gt;0,C16&lt;=$M$7),0,D16-K16)</f>
        <v>1641.3490062369965</v>
      </c>
      <c r="I16" s="122"/>
      <c r="J16" s="122">
        <f t="shared" ref="J16:J79" si="5">F16-H16</f>
        <v>16189.130139031848</v>
      </c>
      <c r="K16" s="122">
        <f t="shared" ref="K16:K79" si="6">-FV($F$10,1,-F16,D16)</f>
        <v>2426728.1718484946</v>
      </c>
      <c r="N16" s="128" t="s">
        <v>109</v>
      </c>
      <c r="O16" s="153">
        <f>$J$12</f>
        <v>3988972.4922970315</v>
      </c>
      <c r="Q16" s="155"/>
      <c r="T16" s="121"/>
      <c r="U16" s="121"/>
      <c r="V16" s="121"/>
      <c r="W16" s="121"/>
      <c r="X16" s="121"/>
      <c r="Y16" s="121"/>
      <c r="Z16" s="121"/>
      <c r="AA16" s="121"/>
    </row>
    <row r="17" spans="1:27" x14ac:dyDescent="0.25">
      <c r="A17" s="122"/>
      <c r="B17" s="308">
        <f t="shared" si="0"/>
        <v>1</v>
      </c>
      <c r="C17" s="98">
        <f t="shared" si="1"/>
        <v>3</v>
      </c>
      <c r="D17" s="122">
        <f t="shared" si="2"/>
        <v>2426728.1718484946</v>
      </c>
      <c r="F17" s="122">
        <f t="shared" si="3"/>
        <v>17830.479145268844</v>
      </c>
      <c r="G17" s="122"/>
      <c r="H17" s="122">
        <f t="shared" si="4"/>
        <v>1652.2913329452276</v>
      </c>
      <c r="I17" s="122"/>
      <c r="J17" s="122">
        <f t="shared" si="5"/>
        <v>16178.187812323617</v>
      </c>
      <c r="K17" s="122">
        <f t="shared" si="6"/>
        <v>2425075.8805155493</v>
      </c>
      <c r="Q17" s="105"/>
      <c r="T17" s="121"/>
      <c r="U17" s="121"/>
      <c r="V17" s="121"/>
      <c r="W17" s="121"/>
      <c r="X17" s="121"/>
      <c r="Y17" s="121"/>
      <c r="Z17" s="121"/>
      <c r="AA17" s="121"/>
    </row>
    <row r="18" spans="1:27" x14ac:dyDescent="0.25">
      <c r="A18" s="122"/>
      <c r="B18" s="308">
        <f t="shared" si="0"/>
        <v>1</v>
      </c>
      <c r="C18" s="98">
        <f t="shared" si="1"/>
        <v>4</v>
      </c>
      <c r="D18" s="122">
        <f t="shared" si="2"/>
        <v>2425075.8805155493</v>
      </c>
      <c r="F18" s="122">
        <f t="shared" si="3"/>
        <v>17830.479145268844</v>
      </c>
      <c r="G18" s="122"/>
      <c r="H18" s="122">
        <f t="shared" si="4"/>
        <v>1663.3066084980965</v>
      </c>
      <c r="I18" s="122"/>
      <c r="J18" s="122">
        <f t="shared" si="5"/>
        <v>16167.172536770748</v>
      </c>
      <c r="K18" s="122">
        <f t="shared" si="6"/>
        <v>2423412.5739070512</v>
      </c>
      <c r="T18" s="121"/>
      <c r="U18" s="121"/>
      <c r="V18" s="121"/>
      <c r="W18" s="121"/>
      <c r="X18" s="121"/>
      <c r="Y18" s="121"/>
      <c r="Z18" s="121"/>
      <c r="AA18" s="121"/>
    </row>
    <row r="19" spans="1:27" x14ac:dyDescent="0.25">
      <c r="A19" s="122"/>
      <c r="B19" s="308">
        <f t="shared" si="0"/>
        <v>1</v>
      </c>
      <c r="C19" s="98">
        <f t="shared" si="1"/>
        <v>5</v>
      </c>
      <c r="D19" s="122">
        <f t="shared" si="2"/>
        <v>2423412.5739070512</v>
      </c>
      <c r="F19" s="122">
        <f t="shared" si="3"/>
        <v>17830.479145268844</v>
      </c>
      <c r="G19" s="122"/>
      <c r="H19" s="122">
        <f t="shared" si="4"/>
        <v>1674.3953192215413</v>
      </c>
      <c r="I19" s="122"/>
      <c r="J19" s="122">
        <f t="shared" si="5"/>
        <v>16156.083826047303</v>
      </c>
      <c r="K19" s="122">
        <f t="shared" si="6"/>
        <v>2421738.1785878297</v>
      </c>
      <c r="T19" s="121"/>
      <c r="U19" s="121"/>
      <c r="V19" s="121"/>
      <c r="W19" s="121"/>
      <c r="X19" s="121"/>
      <c r="Y19" s="121"/>
      <c r="Z19" s="121"/>
      <c r="AA19" s="121"/>
    </row>
    <row r="20" spans="1:27" x14ac:dyDescent="0.25">
      <c r="A20" s="122"/>
      <c r="B20" s="308">
        <f t="shared" si="0"/>
        <v>1</v>
      </c>
      <c r="C20" s="98">
        <f t="shared" si="1"/>
        <v>6</v>
      </c>
      <c r="D20" s="122">
        <f t="shared" si="2"/>
        <v>2421738.1785878297</v>
      </c>
      <c r="F20" s="122">
        <f t="shared" si="3"/>
        <v>17830.479145268844</v>
      </c>
      <c r="G20" s="122"/>
      <c r="H20" s="122">
        <f t="shared" si="4"/>
        <v>1685.5579546829686</v>
      </c>
      <c r="I20" s="122"/>
      <c r="J20" s="122">
        <f t="shared" si="5"/>
        <v>16144.921190585876</v>
      </c>
      <c r="K20" s="122">
        <f t="shared" si="6"/>
        <v>2420052.6206331467</v>
      </c>
      <c r="T20" s="121"/>
      <c r="U20" s="121"/>
      <c r="V20" s="121"/>
      <c r="W20" s="121"/>
      <c r="X20" s="121"/>
      <c r="Y20" s="121"/>
      <c r="Z20" s="121"/>
      <c r="AA20" s="121"/>
    </row>
    <row r="21" spans="1:27" x14ac:dyDescent="0.25">
      <c r="A21" s="122"/>
      <c r="B21" s="308">
        <f t="shared" si="0"/>
        <v>1</v>
      </c>
      <c r="C21" s="98">
        <f t="shared" si="1"/>
        <v>7</v>
      </c>
      <c r="D21" s="122">
        <f t="shared" si="2"/>
        <v>2420052.6206331467</v>
      </c>
      <c r="F21" s="122">
        <f t="shared" si="3"/>
        <v>17830.479145268844</v>
      </c>
      <c r="G21" s="122"/>
      <c r="H21" s="122">
        <f t="shared" si="4"/>
        <v>1696.7950077140704</v>
      </c>
      <c r="I21" s="122"/>
      <c r="J21" s="122">
        <f t="shared" si="5"/>
        <v>16133.684137554774</v>
      </c>
      <c r="K21" s="122">
        <f t="shared" si="6"/>
        <v>2418355.8256254327</v>
      </c>
      <c r="T21" s="121"/>
      <c r="U21" s="121"/>
      <c r="V21" s="121"/>
      <c r="W21" s="121"/>
      <c r="X21" s="121"/>
      <c r="Y21" s="121"/>
      <c r="Z21" s="121"/>
      <c r="AA21" s="121"/>
    </row>
    <row r="22" spans="1:27" x14ac:dyDescent="0.25">
      <c r="A22" s="122"/>
      <c r="B22" s="308">
        <f t="shared" si="0"/>
        <v>1</v>
      </c>
      <c r="C22" s="98">
        <f t="shared" si="1"/>
        <v>8</v>
      </c>
      <c r="D22" s="122">
        <f t="shared" si="2"/>
        <v>2418355.8256254327</v>
      </c>
      <c r="F22" s="122">
        <f t="shared" si="3"/>
        <v>17830.479145268844</v>
      </c>
      <c r="G22" s="122"/>
      <c r="H22" s="122">
        <f t="shared" si="4"/>
        <v>1708.1069744322449</v>
      </c>
      <c r="I22" s="122"/>
      <c r="J22" s="122">
        <f t="shared" si="5"/>
        <v>16122.372170836599</v>
      </c>
      <c r="K22" s="122">
        <f t="shared" si="6"/>
        <v>2416647.7186510004</v>
      </c>
      <c r="T22" s="121"/>
      <c r="U22" s="121"/>
      <c r="V22" s="121"/>
      <c r="W22" s="121"/>
      <c r="X22" s="121"/>
      <c r="Y22" s="121"/>
      <c r="Z22" s="121"/>
      <c r="AA22" s="121"/>
    </row>
    <row r="23" spans="1:27" x14ac:dyDescent="0.25">
      <c r="A23" s="122"/>
      <c r="B23" s="308">
        <f t="shared" si="0"/>
        <v>1</v>
      </c>
      <c r="C23" s="98">
        <f t="shared" si="1"/>
        <v>9</v>
      </c>
      <c r="D23" s="122">
        <f t="shared" si="2"/>
        <v>2416647.7186510004</v>
      </c>
      <c r="F23" s="122">
        <f t="shared" si="3"/>
        <v>17830.479145268844</v>
      </c>
      <c r="G23" s="122"/>
      <c r="H23" s="122">
        <f t="shared" si="4"/>
        <v>1719.4943542620167</v>
      </c>
      <c r="I23" s="122"/>
      <c r="J23" s="122">
        <f t="shared" si="5"/>
        <v>16110.984791006827</v>
      </c>
      <c r="K23" s="122">
        <f t="shared" si="6"/>
        <v>2414928.2242967384</v>
      </c>
      <c r="T23" s="121"/>
      <c r="U23" s="121"/>
      <c r="V23" s="121"/>
      <c r="W23" s="121"/>
      <c r="X23" s="121"/>
      <c r="Y23" s="121"/>
      <c r="Z23" s="121"/>
      <c r="AA23" s="121"/>
    </row>
    <row r="24" spans="1:27" x14ac:dyDescent="0.25">
      <c r="A24" s="122"/>
      <c r="B24" s="308">
        <f t="shared" si="0"/>
        <v>1</v>
      </c>
      <c r="C24" s="98">
        <f t="shared" si="1"/>
        <v>10</v>
      </c>
      <c r="D24" s="122">
        <f t="shared" si="2"/>
        <v>2414928.2242967384</v>
      </c>
      <c r="F24" s="122">
        <f t="shared" si="3"/>
        <v>17830.479145268844</v>
      </c>
      <c r="G24" s="122"/>
      <c r="H24" s="122">
        <f t="shared" si="4"/>
        <v>1730.957649956923</v>
      </c>
      <c r="I24" s="122"/>
      <c r="J24" s="122">
        <f t="shared" si="5"/>
        <v>16099.521495311921</v>
      </c>
      <c r="K24" s="122">
        <f t="shared" si="6"/>
        <v>2413197.2666467815</v>
      </c>
      <c r="T24" s="121"/>
      <c r="U24" s="121"/>
      <c r="V24" s="121"/>
      <c r="W24" s="121"/>
      <c r="X24" s="121"/>
      <c r="Y24" s="121"/>
      <c r="Z24" s="121"/>
      <c r="AA24" s="121"/>
    </row>
    <row r="25" spans="1:27" x14ac:dyDescent="0.25">
      <c r="A25" s="122"/>
      <c r="B25" s="308">
        <f t="shared" si="0"/>
        <v>1</v>
      </c>
      <c r="C25" s="98">
        <f t="shared" si="1"/>
        <v>11</v>
      </c>
      <c r="D25" s="122">
        <f t="shared" si="2"/>
        <v>2413197.2666467815</v>
      </c>
      <c r="F25" s="122">
        <f t="shared" si="3"/>
        <v>17830.479145268844</v>
      </c>
      <c r="G25" s="122"/>
      <c r="H25" s="122">
        <f t="shared" si="4"/>
        <v>1742.4973676232621</v>
      </c>
      <c r="I25" s="122"/>
      <c r="J25" s="122">
        <f t="shared" si="5"/>
        <v>16087.981777645582</v>
      </c>
      <c r="K25" s="122">
        <f t="shared" si="6"/>
        <v>2411454.7692791582</v>
      </c>
      <c r="T25" s="121"/>
      <c r="U25" s="121"/>
      <c r="V25" s="121"/>
      <c r="W25" s="121"/>
      <c r="X25" s="121"/>
      <c r="Y25" s="121"/>
      <c r="Z25" s="121"/>
      <c r="AA25" s="121"/>
    </row>
    <row r="26" spans="1:27" x14ac:dyDescent="0.25">
      <c r="A26" s="122"/>
      <c r="B26" s="308">
        <f t="shared" si="0"/>
        <v>1</v>
      </c>
      <c r="C26" s="98">
        <f t="shared" si="1"/>
        <v>12</v>
      </c>
      <c r="D26" s="122">
        <f t="shared" si="2"/>
        <v>2411454.7692791582</v>
      </c>
      <c r="F26" s="122">
        <f t="shared" si="3"/>
        <v>17830.479145268844</v>
      </c>
      <c r="G26" s="122"/>
      <c r="H26" s="122">
        <f t="shared" si="4"/>
        <v>1754.1140167410485</v>
      </c>
      <c r="I26" s="122"/>
      <c r="J26" s="122">
        <f t="shared" si="5"/>
        <v>16076.365128527796</v>
      </c>
      <c r="K26" s="122">
        <f t="shared" si="6"/>
        <v>2409700.6552624172</v>
      </c>
      <c r="T26" s="121"/>
      <c r="U26" s="121"/>
      <c r="V26" s="121"/>
      <c r="W26" s="121"/>
      <c r="X26" s="121"/>
      <c r="Y26" s="121"/>
      <c r="Z26" s="121"/>
      <c r="AA26" s="121"/>
    </row>
    <row r="27" spans="1:27" x14ac:dyDescent="0.25">
      <c r="A27" s="122"/>
      <c r="B27" s="308">
        <f t="shared" si="0"/>
        <v>2</v>
      </c>
      <c r="C27" s="98">
        <f t="shared" si="1"/>
        <v>13</v>
      </c>
      <c r="D27" s="122">
        <f t="shared" si="2"/>
        <v>2409700.6552624172</v>
      </c>
      <c r="F27" s="122">
        <f t="shared" si="3"/>
        <v>17830.479145268844</v>
      </c>
      <c r="G27" s="122"/>
      <c r="H27" s="122">
        <f t="shared" si="4"/>
        <v>1765.8081101858988</v>
      </c>
      <c r="I27" s="122"/>
      <c r="J27" s="122">
        <f t="shared" si="5"/>
        <v>16064.671035082945</v>
      </c>
      <c r="K27" s="122">
        <f t="shared" si="6"/>
        <v>2407934.8471522313</v>
      </c>
      <c r="T27" s="121"/>
      <c r="U27" s="121"/>
      <c r="V27" s="121"/>
      <c r="W27" s="121"/>
      <c r="X27" s="121"/>
      <c r="Y27" s="121"/>
      <c r="Z27" s="121"/>
      <c r="AA27" s="121"/>
    </row>
    <row r="28" spans="1:27" x14ac:dyDescent="0.25">
      <c r="A28" s="122"/>
      <c r="B28" s="308">
        <f t="shared" si="0"/>
        <v>2</v>
      </c>
      <c r="C28" s="98">
        <f t="shared" si="1"/>
        <v>14</v>
      </c>
      <c r="D28" s="122">
        <f t="shared" si="2"/>
        <v>2407934.8471522313</v>
      </c>
      <c r="F28" s="122">
        <f t="shared" si="3"/>
        <v>17830.479145268844</v>
      </c>
      <c r="G28" s="122"/>
      <c r="H28" s="122">
        <f t="shared" si="4"/>
        <v>1777.5801642537117</v>
      </c>
      <c r="I28" s="122"/>
      <c r="J28" s="122">
        <f t="shared" si="5"/>
        <v>16052.898981015132</v>
      </c>
      <c r="K28" s="122">
        <f t="shared" si="6"/>
        <v>2406157.2669879775</v>
      </c>
      <c r="T28" s="121"/>
      <c r="U28" s="121"/>
      <c r="V28" s="121"/>
      <c r="W28" s="121"/>
      <c r="X28" s="121"/>
      <c r="Y28" s="121"/>
      <c r="Z28" s="121"/>
      <c r="AA28" s="121"/>
    </row>
    <row r="29" spans="1:27" x14ac:dyDescent="0.25">
      <c r="A29" s="122"/>
      <c r="B29" s="308">
        <f t="shared" si="0"/>
        <v>2</v>
      </c>
      <c r="C29" s="98">
        <f t="shared" si="1"/>
        <v>15</v>
      </c>
      <c r="D29" s="122">
        <f t="shared" si="2"/>
        <v>2406157.2669879775</v>
      </c>
      <c r="F29" s="122">
        <f t="shared" si="3"/>
        <v>17830.479145268844</v>
      </c>
      <c r="G29" s="122"/>
      <c r="H29" s="122">
        <f t="shared" si="4"/>
        <v>1789.4306986820884</v>
      </c>
      <c r="I29" s="122"/>
      <c r="J29" s="122">
        <f t="shared" si="5"/>
        <v>16041.048446586756</v>
      </c>
      <c r="K29" s="122">
        <f t="shared" si="6"/>
        <v>2404367.8362892955</v>
      </c>
      <c r="T29" s="121"/>
      <c r="U29" s="121"/>
      <c r="V29" s="121"/>
      <c r="W29" s="121"/>
      <c r="X29" s="121"/>
      <c r="Y29" s="121"/>
      <c r="Z29" s="121"/>
      <c r="AA29" s="121"/>
    </row>
    <row r="30" spans="1:27" x14ac:dyDescent="0.25">
      <c r="A30" s="122"/>
      <c r="B30" s="308">
        <f t="shared" si="0"/>
        <v>2</v>
      </c>
      <c r="C30" s="98">
        <f t="shared" si="1"/>
        <v>16</v>
      </c>
      <c r="D30" s="122">
        <f t="shared" si="2"/>
        <v>2404367.8362892955</v>
      </c>
      <c r="F30" s="122">
        <f t="shared" si="3"/>
        <v>17830.479145268844</v>
      </c>
      <c r="G30" s="122"/>
      <c r="H30" s="122">
        <f t="shared" si="4"/>
        <v>1801.3602366731502</v>
      </c>
      <c r="I30" s="122"/>
      <c r="J30" s="122">
        <f t="shared" si="5"/>
        <v>16029.118908595694</v>
      </c>
      <c r="K30" s="122">
        <f t="shared" si="6"/>
        <v>2402566.4760526223</v>
      </c>
      <c r="T30" s="121"/>
      <c r="U30" s="121"/>
      <c r="V30" s="121"/>
      <c r="W30" s="121"/>
      <c r="X30" s="121"/>
      <c r="Y30" s="121"/>
      <c r="Z30" s="121"/>
      <c r="AA30" s="121"/>
    </row>
    <row r="31" spans="1:27" x14ac:dyDescent="0.25">
      <c r="A31" s="122"/>
      <c r="B31" s="308">
        <f t="shared" si="0"/>
        <v>2</v>
      </c>
      <c r="C31" s="98">
        <f t="shared" si="1"/>
        <v>17</v>
      </c>
      <c r="D31" s="122">
        <f t="shared" si="2"/>
        <v>2402566.4760526223</v>
      </c>
      <c r="F31" s="122">
        <f t="shared" si="3"/>
        <v>17830.479145268844</v>
      </c>
      <c r="G31" s="122"/>
      <c r="H31" s="122">
        <f t="shared" si="4"/>
        <v>1813.3693049177527</v>
      </c>
      <c r="I31" s="122"/>
      <c r="J31" s="122">
        <f t="shared" si="5"/>
        <v>16017.109840351091</v>
      </c>
      <c r="K31" s="122">
        <f t="shared" si="6"/>
        <v>2400753.1067477046</v>
      </c>
      <c r="T31" s="121"/>
      <c r="U31" s="121"/>
      <c r="V31" s="121"/>
      <c r="W31" s="121"/>
      <c r="X31" s="121"/>
      <c r="Y31" s="121"/>
      <c r="Z31" s="121"/>
      <c r="AA31" s="121"/>
    </row>
    <row r="32" spans="1:27" x14ac:dyDescent="0.25">
      <c r="A32" s="122"/>
      <c r="B32" s="308">
        <f t="shared" si="0"/>
        <v>2</v>
      </c>
      <c r="C32" s="98">
        <f t="shared" si="1"/>
        <v>18</v>
      </c>
      <c r="D32" s="122">
        <f t="shared" si="2"/>
        <v>2400753.1067477046</v>
      </c>
      <c r="F32" s="122">
        <f t="shared" si="3"/>
        <v>17830.479145268844</v>
      </c>
      <c r="G32" s="122"/>
      <c r="H32" s="122">
        <f t="shared" si="4"/>
        <v>1825.4584336173721</v>
      </c>
      <c r="I32" s="122"/>
      <c r="J32" s="122">
        <f t="shared" si="5"/>
        <v>16005.020711651472</v>
      </c>
      <c r="K32" s="122">
        <f t="shared" si="6"/>
        <v>2398927.6483140872</v>
      </c>
      <c r="T32" s="121"/>
      <c r="U32" s="121"/>
      <c r="V32" s="121"/>
      <c r="W32" s="121"/>
      <c r="X32" s="121"/>
      <c r="Y32" s="121"/>
      <c r="Z32" s="121"/>
      <c r="AA32" s="121"/>
    </row>
    <row r="33" spans="1:11" x14ac:dyDescent="0.25">
      <c r="A33" s="122"/>
      <c r="B33" s="308">
        <f t="shared" si="0"/>
        <v>2</v>
      </c>
      <c r="C33" s="98">
        <f t="shared" si="1"/>
        <v>19</v>
      </c>
      <c r="D33" s="122">
        <f t="shared" si="2"/>
        <v>2398927.6483140872</v>
      </c>
      <c r="F33" s="122">
        <f t="shared" si="3"/>
        <v>17830.479145268844</v>
      </c>
      <c r="G33" s="122"/>
      <c r="H33" s="122">
        <f t="shared" si="4"/>
        <v>1837.6281565078534</v>
      </c>
      <c r="I33" s="122"/>
      <c r="J33" s="122">
        <f t="shared" si="5"/>
        <v>15992.850988760991</v>
      </c>
      <c r="K33" s="122">
        <f t="shared" si="6"/>
        <v>2397090.0201575793</v>
      </c>
    </row>
    <row r="34" spans="1:11" x14ac:dyDescent="0.25">
      <c r="A34" s="122"/>
      <c r="B34" s="308">
        <f t="shared" si="0"/>
        <v>2</v>
      </c>
      <c r="C34" s="98">
        <f t="shared" si="1"/>
        <v>20</v>
      </c>
      <c r="D34" s="122">
        <f t="shared" si="2"/>
        <v>2397090.0201575793</v>
      </c>
      <c r="F34" s="122">
        <f t="shared" si="3"/>
        <v>17830.479145268844</v>
      </c>
      <c r="G34" s="122"/>
      <c r="H34" s="122">
        <f t="shared" si="4"/>
        <v>1849.8790108845569</v>
      </c>
      <c r="I34" s="122"/>
      <c r="J34" s="122">
        <f t="shared" si="5"/>
        <v>15980.600134384287</v>
      </c>
      <c r="K34" s="122">
        <f t="shared" si="6"/>
        <v>2395240.1411466948</v>
      </c>
    </row>
    <row r="35" spans="1:11" x14ac:dyDescent="0.25">
      <c r="A35" s="122"/>
      <c r="B35" s="308">
        <f t="shared" si="0"/>
        <v>2</v>
      </c>
      <c r="C35" s="98">
        <f t="shared" si="1"/>
        <v>21</v>
      </c>
      <c r="D35" s="122">
        <f t="shared" si="2"/>
        <v>2395240.1411466948</v>
      </c>
      <c r="F35" s="122">
        <f t="shared" si="3"/>
        <v>17830.479145268844</v>
      </c>
      <c r="G35" s="122"/>
      <c r="H35" s="122">
        <f t="shared" si="4"/>
        <v>1862.211537623778</v>
      </c>
      <c r="I35" s="122"/>
      <c r="J35" s="122">
        <f t="shared" si="5"/>
        <v>15968.267607645066</v>
      </c>
      <c r="K35" s="122">
        <f t="shared" si="6"/>
        <v>2393377.929609071</v>
      </c>
    </row>
    <row r="36" spans="1:11" x14ac:dyDescent="0.25">
      <c r="A36" s="122"/>
      <c r="B36" s="308">
        <f t="shared" si="0"/>
        <v>2</v>
      </c>
      <c r="C36" s="98">
        <f t="shared" si="1"/>
        <v>22</v>
      </c>
      <c r="D36" s="122">
        <f t="shared" si="2"/>
        <v>2393377.929609071</v>
      </c>
      <c r="F36" s="122">
        <f t="shared" si="3"/>
        <v>17830.479145268844</v>
      </c>
      <c r="G36" s="122"/>
      <c r="H36" s="122">
        <f t="shared" si="4"/>
        <v>1874.6262812083587</v>
      </c>
      <c r="I36" s="122"/>
      <c r="J36" s="122">
        <f t="shared" si="5"/>
        <v>15955.852864060485</v>
      </c>
      <c r="K36" s="122">
        <f t="shared" si="6"/>
        <v>2391503.3033278626</v>
      </c>
    </row>
    <row r="37" spans="1:11" x14ac:dyDescent="0.25">
      <c r="A37" s="122"/>
      <c r="B37" s="308">
        <f t="shared" si="0"/>
        <v>2</v>
      </c>
      <c r="C37" s="98">
        <f t="shared" si="1"/>
        <v>23</v>
      </c>
      <c r="D37" s="122">
        <f t="shared" si="2"/>
        <v>2391503.3033278626</v>
      </c>
      <c r="F37" s="122">
        <f t="shared" si="3"/>
        <v>17830.479145268844</v>
      </c>
      <c r="G37" s="122"/>
      <c r="H37" s="122">
        <f t="shared" si="4"/>
        <v>1887.1237897495739</v>
      </c>
      <c r="I37" s="122"/>
      <c r="J37" s="122">
        <f t="shared" si="5"/>
        <v>15943.35535551927</v>
      </c>
      <c r="K37" s="122">
        <f t="shared" si="6"/>
        <v>2389616.1795381131</v>
      </c>
    </row>
    <row r="38" spans="1:11" x14ac:dyDescent="0.25">
      <c r="A38" s="122"/>
      <c r="B38" s="308">
        <f t="shared" si="0"/>
        <v>2</v>
      </c>
      <c r="C38" s="98">
        <f t="shared" si="1"/>
        <v>24</v>
      </c>
      <c r="D38" s="122">
        <f t="shared" si="2"/>
        <v>2389616.1795381131</v>
      </c>
      <c r="F38" s="122">
        <f t="shared" si="3"/>
        <v>17830.479145268844</v>
      </c>
      <c r="G38" s="122"/>
      <c r="H38" s="122">
        <f t="shared" si="4"/>
        <v>1899.7046150146052</v>
      </c>
      <c r="I38" s="122"/>
      <c r="J38" s="122">
        <f t="shared" si="5"/>
        <v>15930.774530254239</v>
      </c>
      <c r="K38" s="122">
        <f t="shared" si="6"/>
        <v>2387716.4749230985</v>
      </c>
    </row>
    <row r="39" spans="1:11" x14ac:dyDescent="0.25">
      <c r="A39" s="122"/>
      <c r="B39" s="308">
        <f t="shared" si="0"/>
        <v>3</v>
      </c>
      <c r="C39" s="98">
        <f t="shared" si="1"/>
        <v>25</v>
      </c>
      <c r="D39" s="122">
        <f t="shared" si="2"/>
        <v>2387716.4749230985</v>
      </c>
      <c r="F39" s="122">
        <f t="shared" si="3"/>
        <v>17830.479145268844</v>
      </c>
      <c r="G39" s="122"/>
      <c r="H39" s="122">
        <f t="shared" si="4"/>
        <v>1912.3693124479614</v>
      </c>
      <c r="I39" s="122"/>
      <c r="J39" s="122">
        <f t="shared" si="5"/>
        <v>15918.109832820883</v>
      </c>
      <c r="K39" s="122">
        <f t="shared" si="6"/>
        <v>2385804.1056106505</v>
      </c>
    </row>
    <row r="40" spans="1:11" x14ac:dyDescent="0.25">
      <c r="A40" s="122"/>
      <c r="B40" s="308">
        <f t="shared" si="0"/>
        <v>3</v>
      </c>
      <c r="C40" s="98">
        <f t="shared" si="1"/>
        <v>26</v>
      </c>
      <c r="D40" s="122">
        <f t="shared" si="2"/>
        <v>2385804.1056106505</v>
      </c>
      <c r="F40" s="122">
        <f t="shared" si="3"/>
        <v>17830.479145268844</v>
      </c>
      <c r="G40" s="122"/>
      <c r="H40" s="122">
        <f t="shared" si="4"/>
        <v>1925.1184411975555</v>
      </c>
      <c r="I40" s="122"/>
      <c r="J40" s="122">
        <f t="shared" si="5"/>
        <v>15905.360704071289</v>
      </c>
      <c r="K40" s="122">
        <f t="shared" si="6"/>
        <v>2383878.9871694529</v>
      </c>
    </row>
    <row r="41" spans="1:11" x14ac:dyDescent="0.25">
      <c r="A41" s="122"/>
      <c r="B41" s="308">
        <f t="shared" si="0"/>
        <v>3</v>
      </c>
      <c r="C41" s="98">
        <f t="shared" si="1"/>
        <v>27</v>
      </c>
      <c r="D41" s="122">
        <f t="shared" si="2"/>
        <v>2383878.9871694529</v>
      </c>
      <c r="F41" s="122">
        <f t="shared" si="3"/>
        <v>17830.479145268844</v>
      </c>
      <c r="G41" s="122"/>
      <c r="H41" s="122">
        <f t="shared" si="4"/>
        <v>1937.9525641389191</v>
      </c>
      <c r="I41" s="122"/>
      <c r="J41" s="122">
        <f t="shared" si="5"/>
        <v>15892.526581129925</v>
      </c>
      <c r="K41" s="122">
        <f t="shared" si="6"/>
        <v>2381941.034605314</v>
      </c>
    </row>
    <row r="42" spans="1:11" x14ac:dyDescent="0.25">
      <c r="A42" s="122"/>
      <c r="B42" s="308">
        <f t="shared" si="0"/>
        <v>3</v>
      </c>
      <c r="C42" s="98">
        <f t="shared" si="1"/>
        <v>28</v>
      </c>
      <c r="D42" s="122">
        <f t="shared" si="2"/>
        <v>2381941.034605314</v>
      </c>
      <c r="F42" s="122">
        <f t="shared" si="3"/>
        <v>17830.479145268844</v>
      </c>
      <c r="G42" s="122"/>
      <c r="H42" s="122">
        <f t="shared" si="4"/>
        <v>1950.8722478998825</v>
      </c>
      <c r="I42" s="122"/>
      <c r="J42" s="122">
        <f t="shared" si="5"/>
        <v>15879.606897368962</v>
      </c>
      <c r="K42" s="122">
        <f t="shared" si="6"/>
        <v>2379990.1623574141</v>
      </c>
    </row>
    <row r="43" spans="1:11" x14ac:dyDescent="0.25">
      <c r="A43" s="122"/>
      <c r="B43" s="308">
        <f t="shared" si="0"/>
        <v>3</v>
      </c>
      <c r="C43" s="98">
        <f t="shared" si="1"/>
        <v>29</v>
      </c>
      <c r="D43" s="122">
        <f t="shared" si="2"/>
        <v>2379990.1623574141</v>
      </c>
      <c r="F43" s="122">
        <f t="shared" si="3"/>
        <v>17830.479145268844</v>
      </c>
      <c r="G43" s="122"/>
      <c r="H43" s="122">
        <f t="shared" si="4"/>
        <v>1963.8780628857203</v>
      </c>
      <c r="I43" s="122"/>
      <c r="J43" s="122">
        <f t="shared" si="5"/>
        <v>15866.601082383124</v>
      </c>
      <c r="K43" s="122">
        <f t="shared" si="6"/>
        <v>2378026.2842945284</v>
      </c>
    </row>
    <row r="44" spans="1:11" x14ac:dyDescent="0.25">
      <c r="A44" s="122"/>
      <c r="B44" s="308">
        <f t="shared" si="0"/>
        <v>3</v>
      </c>
      <c r="C44" s="98">
        <f t="shared" si="1"/>
        <v>30</v>
      </c>
      <c r="D44" s="122">
        <f t="shared" si="2"/>
        <v>2378026.2842945284</v>
      </c>
      <c r="F44" s="122">
        <f t="shared" si="3"/>
        <v>17830.479145268844</v>
      </c>
      <c r="G44" s="122"/>
      <c r="H44" s="122">
        <f t="shared" si="4"/>
        <v>1976.9705833052285</v>
      </c>
      <c r="I44" s="122"/>
      <c r="J44" s="122">
        <f t="shared" si="5"/>
        <v>15853.508561963616</v>
      </c>
      <c r="K44" s="122">
        <f t="shared" si="6"/>
        <v>2376049.3137112232</v>
      </c>
    </row>
    <row r="45" spans="1:11" x14ac:dyDescent="0.25">
      <c r="A45" s="122"/>
      <c r="B45" s="308">
        <f t="shared" si="0"/>
        <v>3</v>
      </c>
      <c r="C45" s="98">
        <f t="shared" si="1"/>
        <v>31</v>
      </c>
      <c r="D45" s="122">
        <f t="shared" si="2"/>
        <v>2376049.3137112232</v>
      </c>
      <c r="F45" s="122">
        <f t="shared" si="3"/>
        <v>17830.479145268844</v>
      </c>
      <c r="G45" s="122"/>
      <c r="H45" s="122">
        <f t="shared" si="4"/>
        <v>1990.1503871940076</v>
      </c>
      <c r="I45" s="122"/>
      <c r="J45" s="122">
        <f t="shared" si="5"/>
        <v>15840.328758074837</v>
      </c>
      <c r="K45" s="122">
        <f t="shared" si="6"/>
        <v>2374059.1633240292</v>
      </c>
    </row>
    <row r="46" spans="1:11" x14ac:dyDescent="0.25">
      <c r="A46" s="122"/>
      <c r="B46" s="308">
        <f t="shared" si="0"/>
        <v>3</v>
      </c>
      <c r="C46" s="98">
        <f t="shared" si="1"/>
        <v>32</v>
      </c>
      <c r="D46" s="122">
        <f t="shared" si="2"/>
        <v>2374059.1633240292</v>
      </c>
      <c r="F46" s="122">
        <f t="shared" si="3"/>
        <v>17830.479145268844</v>
      </c>
      <c r="G46" s="122"/>
      <c r="H46" s="122">
        <f t="shared" si="4"/>
        <v>2003.4180564419366</v>
      </c>
      <c r="I46" s="122"/>
      <c r="J46" s="122">
        <f t="shared" si="5"/>
        <v>15827.061088826908</v>
      </c>
      <c r="K46" s="122">
        <f t="shared" si="6"/>
        <v>2372055.7452675872</v>
      </c>
    </row>
    <row r="47" spans="1:11" x14ac:dyDescent="0.25">
      <c r="A47" s="122"/>
      <c r="B47" s="308">
        <f t="shared" si="0"/>
        <v>3</v>
      </c>
      <c r="C47" s="98">
        <f t="shared" si="1"/>
        <v>33</v>
      </c>
      <c r="D47" s="122">
        <f t="shared" si="2"/>
        <v>2372055.7452675872</v>
      </c>
      <c r="F47" s="122">
        <f t="shared" si="3"/>
        <v>17830.479145268844</v>
      </c>
      <c r="G47" s="122"/>
      <c r="H47" s="122">
        <f t="shared" si="4"/>
        <v>2016.774176817853</v>
      </c>
      <c r="I47" s="122"/>
      <c r="J47" s="122">
        <f t="shared" si="5"/>
        <v>15813.704968450991</v>
      </c>
      <c r="K47" s="122">
        <f t="shared" si="6"/>
        <v>2370038.9710907694</v>
      </c>
    </row>
    <row r="48" spans="1:11" x14ac:dyDescent="0.25">
      <c r="A48" s="122"/>
      <c r="B48" s="308">
        <f t="shared" si="0"/>
        <v>3</v>
      </c>
      <c r="C48" s="98">
        <f t="shared" si="1"/>
        <v>34</v>
      </c>
      <c r="D48" s="122">
        <f t="shared" si="2"/>
        <v>2370038.9710907694</v>
      </c>
      <c r="F48" s="122">
        <f t="shared" si="3"/>
        <v>17830.479145268844</v>
      </c>
      <c r="G48" s="122"/>
      <c r="H48" s="122">
        <f t="shared" si="4"/>
        <v>2030.2193379970267</v>
      </c>
      <c r="I48" s="122"/>
      <c r="J48" s="122">
        <f t="shared" si="5"/>
        <v>15800.259807271817</v>
      </c>
      <c r="K48" s="122">
        <f t="shared" si="6"/>
        <v>2368008.7517527724</v>
      </c>
    </row>
    <row r="49" spans="1:11" x14ac:dyDescent="0.25">
      <c r="A49" s="122"/>
      <c r="B49" s="308">
        <f t="shared" si="0"/>
        <v>3</v>
      </c>
      <c r="C49" s="98">
        <f t="shared" si="1"/>
        <v>35</v>
      </c>
      <c r="D49" s="122">
        <f t="shared" si="2"/>
        <v>2368008.7517527724</v>
      </c>
      <c r="F49" s="122">
        <f t="shared" si="3"/>
        <v>17830.479145268844</v>
      </c>
      <c r="G49" s="122"/>
      <c r="H49" s="122">
        <f t="shared" si="4"/>
        <v>2043.7541335835122</v>
      </c>
      <c r="I49" s="122"/>
      <c r="J49" s="122">
        <f t="shared" si="5"/>
        <v>15786.725011685332</v>
      </c>
      <c r="K49" s="122">
        <f t="shared" si="6"/>
        <v>2365964.9976191889</v>
      </c>
    </row>
    <row r="50" spans="1:11" x14ac:dyDescent="0.25">
      <c r="A50" s="122"/>
      <c r="B50" s="308">
        <f t="shared" si="0"/>
        <v>3</v>
      </c>
      <c r="C50" s="98">
        <f t="shared" si="1"/>
        <v>36</v>
      </c>
      <c r="D50" s="122">
        <f t="shared" si="2"/>
        <v>2365964.9976191889</v>
      </c>
      <c r="F50" s="122">
        <f t="shared" si="3"/>
        <v>17830.479145268844</v>
      </c>
      <c r="G50" s="122"/>
      <c r="H50" s="122">
        <f t="shared" si="4"/>
        <v>2057.3791611408815</v>
      </c>
      <c r="I50" s="122"/>
      <c r="J50" s="122">
        <f t="shared" si="5"/>
        <v>15773.099984127963</v>
      </c>
      <c r="K50" s="122">
        <f t="shared" si="6"/>
        <v>2363907.618458048</v>
      </c>
    </row>
    <row r="51" spans="1:11" x14ac:dyDescent="0.25">
      <c r="A51" s="122"/>
      <c r="B51" s="308">
        <f t="shared" si="0"/>
        <v>4</v>
      </c>
      <c r="C51" s="98">
        <f t="shared" si="1"/>
        <v>37</v>
      </c>
      <c r="D51" s="122">
        <f t="shared" si="2"/>
        <v>2363907.618458048</v>
      </c>
      <c r="F51" s="122">
        <f t="shared" si="3"/>
        <v>17830.479145268844</v>
      </c>
      <c r="G51" s="122"/>
      <c r="H51" s="122">
        <f t="shared" si="4"/>
        <v>2071.0950222150423</v>
      </c>
      <c r="I51" s="122"/>
      <c r="J51" s="122">
        <f t="shared" si="5"/>
        <v>15759.384123053802</v>
      </c>
      <c r="K51" s="122">
        <f t="shared" si="6"/>
        <v>2361836.5234358329</v>
      </c>
    </row>
    <row r="52" spans="1:11" x14ac:dyDescent="0.25">
      <c r="A52" s="122"/>
      <c r="B52" s="308">
        <f t="shared" si="0"/>
        <v>4</v>
      </c>
      <c r="C52" s="98">
        <f t="shared" si="1"/>
        <v>38</v>
      </c>
      <c r="D52" s="122">
        <f t="shared" si="2"/>
        <v>2361836.5234358329</v>
      </c>
      <c r="F52" s="122">
        <f t="shared" si="3"/>
        <v>17830.479145268844</v>
      </c>
      <c r="G52" s="122"/>
      <c r="H52" s="122">
        <f t="shared" si="4"/>
        <v>2084.9023223631084</v>
      </c>
      <c r="I52" s="122"/>
      <c r="J52" s="122">
        <f t="shared" si="5"/>
        <v>15745.576822905736</v>
      </c>
      <c r="K52" s="122">
        <f t="shared" si="6"/>
        <v>2359751.6211134698</v>
      </c>
    </row>
    <row r="53" spans="1:11" x14ac:dyDescent="0.25">
      <c r="A53" s="122"/>
      <c r="B53" s="308">
        <f t="shared" si="0"/>
        <v>4</v>
      </c>
      <c r="C53" s="98">
        <f t="shared" si="1"/>
        <v>39</v>
      </c>
      <c r="D53" s="122">
        <f t="shared" si="2"/>
        <v>2359751.6211134698</v>
      </c>
      <c r="F53" s="122">
        <f t="shared" si="3"/>
        <v>17830.479145268844</v>
      </c>
      <c r="G53" s="122"/>
      <c r="H53" s="122">
        <f t="shared" si="4"/>
        <v>2098.8016711790115</v>
      </c>
      <c r="I53" s="122"/>
      <c r="J53" s="122">
        <f t="shared" si="5"/>
        <v>15731.677474089833</v>
      </c>
      <c r="K53" s="122">
        <f t="shared" si="6"/>
        <v>2357652.8194422908</v>
      </c>
    </row>
    <row r="54" spans="1:11" x14ac:dyDescent="0.25">
      <c r="A54" s="122"/>
      <c r="B54" s="308">
        <f t="shared" si="0"/>
        <v>4</v>
      </c>
      <c r="C54" s="98">
        <f t="shared" si="1"/>
        <v>40</v>
      </c>
      <c r="D54" s="122">
        <f t="shared" si="2"/>
        <v>2357652.8194422908</v>
      </c>
      <c r="F54" s="122">
        <f t="shared" si="3"/>
        <v>17830.479145268844</v>
      </c>
      <c r="G54" s="122"/>
      <c r="H54" s="122">
        <f t="shared" si="4"/>
        <v>2112.7936823200434</v>
      </c>
      <c r="I54" s="122"/>
      <c r="J54" s="122">
        <f t="shared" si="5"/>
        <v>15717.685462948801</v>
      </c>
      <c r="K54" s="122">
        <f t="shared" si="6"/>
        <v>2355540.0257599708</v>
      </c>
    </row>
    <row r="55" spans="1:11" x14ac:dyDescent="0.25">
      <c r="A55" s="122"/>
      <c r="B55" s="308">
        <f t="shared" si="0"/>
        <v>4</v>
      </c>
      <c r="C55" s="98">
        <f t="shared" si="1"/>
        <v>41</v>
      </c>
      <c r="D55" s="122">
        <f t="shared" si="2"/>
        <v>2355540.0257599708</v>
      </c>
      <c r="F55" s="122">
        <f t="shared" si="3"/>
        <v>17830.479145268844</v>
      </c>
      <c r="G55" s="122"/>
      <c r="H55" s="122">
        <f t="shared" si="4"/>
        <v>2126.878973535262</v>
      </c>
      <c r="I55" s="122"/>
      <c r="J55" s="122">
        <f t="shared" si="5"/>
        <v>15703.600171733582</v>
      </c>
      <c r="K55" s="122">
        <f t="shared" si="6"/>
        <v>2353413.1467864355</v>
      </c>
    </row>
    <row r="56" spans="1:11" x14ac:dyDescent="0.25">
      <c r="A56" s="122"/>
      <c r="B56" s="308">
        <f t="shared" si="0"/>
        <v>4</v>
      </c>
      <c r="C56" s="98">
        <f t="shared" si="1"/>
        <v>42</v>
      </c>
      <c r="D56" s="122">
        <f t="shared" si="2"/>
        <v>2353413.1467864355</v>
      </c>
      <c r="F56" s="122">
        <f t="shared" si="3"/>
        <v>17830.479145268844</v>
      </c>
      <c r="G56" s="122"/>
      <c r="H56" s="122">
        <f t="shared" si="4"/>
        <v>2141.0581666924991</v>
      </c>
      <c r="I56" s="122"/>
      <c r="J56" s="122">
        <f t="shared" si="5"/>
        <v>15689.420978576345</v>
      </c>
      <c r="K56" s="122">
        <f t="shared" si="6"/>
        <v>2351272.088619743</v>
      </c>
    </row>
    <row r="57" spans="1:11" x14ac:dyDescent="0.25">
      <c r="A57" s="122"/>
      <c r="B57" s="308">
        <f t="shared" si="0"/>
        <v>4</v>
      </c>
      <c r="C57" s="98">
        <f t="shared" si="1"/>
        <v>43</v>
      </c>
      <c r="D57" s="122">
        <f t="shared" si="2"/>
        <v>2351272.088619743</v>
      </c>
      <c r="F57" s="122">
        <f t="shared" si="3"/>
        <v>17830.479145268844</v>
      </c>
      <c r="G57" s="122"/>
      <c r="H57" s="122">
        <f t="shared" si="4"/>
        <v>2155.3318878035061</v>
      </c>
      <c r="I57" s="122"/>
      <c r="J57" s="122">
        <f t="shared" si="5"/>
        <v>15675.147257465338</v>
      </c>
      <c r="K57" s="122">
        <f t="shared" si="6"/>
        <v>2349116.7567319395</v>
      </c>
    </row>
    <row r="58" spans="1:11" x14ac:dyDescent="0.25">
      <c r="A58" s="122"/>
      <c r="B58" s="308">
        <f t="shared" si="0"/>
        <v>4</v>
      </c>
      <c r="C58" s="98">
        <f t="shared" si="1"/>
        <v>44</v>
      </c>
      <c r="D58" s="122">
        <f t="shared" si="2"/>
        <v>2349116.7567319395</v>
      </c>
      <c r="F58" s="122">
        <f t="shared" si="3"/>
        <v>17830.479145268844</v>
      </c>
      <c r="G58" s="122"/>
      <c r="H58" s="122">
        <f t="shared" si="4"/>
        <v>2169.7007670556195</v>
      </c>
      <c r="I58" s="122"/>
      <c r="J58" s="122">
        <f t="shared" si="5"/>
        <v>15660.778378213225</v>
      </c>
      <c r="K58" s="122">
        <f t="shared" si="6"/>
        <v>2346947.0559648839</v>
      </c>
    </row>
    <row r="59" spans="1:11" x14ac:dyDescent="0.25">
      <c r="A59" s="122"/>
      <c r="B59" s="308">
        <f t="shared" si="0"/>
        <v>4</v>
      </c>
      <c r="C59" s="98">
        <f t="shared" si="1"/>
        <v>45</v>
      </c>
      <c r="D59" s="122">
        <f t="shared" si="2"/>
        <v>2346947.0559648839</v>
      </c>
      <c r="F59" s="122">
        <f t="shared" si="3"/>
        <v>17830.479145268844</v>
      </c>
      <c r="G59" s="122"/>
      <c r="H59" s="122">
        <f t="shared" si="4"/>
        <v>2184.1654388359748</v>
      </c>
      <c r="I59" s="122"/>
      <c r="J59" s="122">
        <f t="shared" si="5"/>
        <v>15646.313706432869</v>
      </c>
      <c r="K59" s="122">
        <f t="shared" si="6"/>
        <v>2344762.8905260479</v>
      </c>
    </row>
    <row r="60" spans="1:11" x14ac:dyDescent="0.25">
      <c r="A60" s="122"/>
      <c r="B60" s="308">
        <f t="shared" si="0"/>
        <v>4</v>
      </c>
      <c r="C60" s="98">
        <f t="shared" si="1"/>
        <v>46</v>
      </c>
      <c r="D60" s="122">
        <f t="shared" si="2"/>
        <v>2344762.8905260479</v>
      </c>
      <c r="F60" s="122">
        <f t="shared" si="3"/>
        <v>17830.479145268844</v>
      </c>
      <c r="G60" s="122"/>
      <c r="H60" s="122">
        <f t="shared" si="4"/>
        <v>2198.7265417617746</v>
      </c>
      <c r="I60" s="122"/>
      <c r="J60" s="122">
        <f t="shared" si="5"/>
        <v>15631.75260350707</v>
      </c>
      <c r="K60" s="122">
        <f t="shared" si="6"/>
        <v>2342564.1639842861</v>
      </c>
    </row>
    <row r="61" spans="1:11" x14ac:dyDescent="0.25">
      <c r="A61" s="122"/>
      <c r="B61" s="308">
        <f t="shared" si="0"/>
        <v>4</v>
      </c>
      <c r="C61" s="98">
        <f t="shared" si="1"/>
        <v>47</v>
      </c>
      <c r="D61" s="122">
        <f t="shared" si="2"/>
        <v>2342564.1639842861</v>
      </c>
      <c r="F61" s="122">
        <f t="shared" si="3"/>
        <v>17830.479145268844</v>
      </c>
      <c r="G61" s="122"/>
      <c r="H61" s="122">
        <f t="shared" si="4"/>
        <v>2213.3847187068313</v>
      </c>
      <c r="I61" s="122"/>
      <c r="J61" s="122">
        <f t="shared" si="5"/>
        <v>15617.094426562013</v>
      </c>
      <c r="K61" s="122">
        <f t="shared" si="6"/>
        <v>2340350.7792655793</v>
      </c>
    </row>
    <row r="62" spans="1:11" x14ac:dyDescent="0.25">
      <c r="A62" s="122"/>
      <c r="B62" s="308">
        <f t="shared" si="0"/>
        <v>4</v>
      </c>
      <c r="C62" s="98">
        <f t="shared" si="1"/>
        <v>48</v>
      </c>
      <c r="D62" s="122">
        <f t="shared" si="2"/>
        <v>2340350.7792655793</v>
      </c>
      <c r="F62" s="122">
        <f t="shared" si="3"/>
        <v>17830.479145268844</v>
      </c>
      <c r="G62" s="122"/>
      <c r="H62" s="122">
        <f t="shared" si="4"/>
        <v>2228.1406168313697</v>
      </c>
      <c r="I62" s="122"/>
      <c r="J62" s="122">
        <f t="shared" si="5"/>
        <v>15602.338528437474</v>
      </c>
      <c r="K62" s="122">
        <f t="shared" si="6"/>
        <v>2338122.6386487479</v>
      </c>
    </row>
    <row r="63" spans="1:11" x14ac:dyDescent="0.25">
      <c r="A63" s="122"/>
      <c r="B63" s="308">
        <f t="shared" si="0"/>
        <v>5</v>
      </c>
      <c r="C63" s="98">
        <f t="shared" si="1"/>
        <v>49</v>
      </c>
      <c r="D63" s="122">
        <f t="shared" si="2"/>
        <v>2338122.6386487479</v>
      </c>
      <c r="F63" s="122">
        <f t="shared" si="3"/>
        <v>17830.479145268844</v>
      </c>
      <c r="G63" s="122"/>
      <c r="H63" s="122">
        <f t="shared" si="4"/>
        <v>2242.9948876104318</v>
      </c>
      <c r="I63" s="122"/>
      <c r="J63" s="122">
        <f t="shared" si="5"/>
        <v>15587.484257658412</v>
      </c>
      <c r="K63" s="122">
        <f t="shared" si="6"/>
        <v>2335879.6437611375</v>
      </c>
    </row>
    <row r="64" spans="1:11" x14ac:dyDescent="0.25">
      <c r="A64" s="122"/>
      <c r="B64" s="308">
        <f t="shared" si="0"/>
        <v>5</v>
      </c>
      <c r="C64" s="98">
        <f t="shared" si="1"/>
        <v>50</v>
      </c>
      <c r="D64" s="122">
        <f t="shared" si="2"/>
        <v>2335879.6437611375</v>
      </c>
      <c r="F64" s="122">
        <f t="shared" si="3"/>
        <v>17830.479145268844</v>
      </c>
      <c r="G64" s="122"/>
      <c r="H64" s="122">
        <f t="shared" si="4"/>
        <v>2257.9481868608855</v>
      </c>
      <c r="I64" s="122"/>
      <c r="J64" s="122">
        <f t="shared" si="5"/>
        <v>15572.530958407959</v>
      </c>
      <c r="K64" s="122">
        <f t="shared" si="6"/>
        <v>2333621.6955742766</v>
      </c>
    </row>
    <row r="65" spans="1:11" x14ac:dyDescent="0.25">
      <c r="A65" s="122"/>
      <c r="B65" s="308">
        <f t="shared" si="0"/>
        <v>5</v>
      </c>
      <c r="C65" s="98">
        <f t="shared" si="1"/>
        <v>51</v>
      </c>
      <c r="D65" s="122">
        <f t="shared" si="2"/>
        <v>2333621.6955742766</v>
      </c>
      <c r="F65" s="122">
        <f t="shared" si="3"/>
        <v>17830.479145268844</v>
      </c>
      <c r="G65" s="122"/>
      <c r="H65" s="122">
        <f t="shared" si="4"/>
        <v>2273.0011747735552</v>
      </c>
      <c r="I65" s="122"/>
      <c r="J65" s="122">
        <f t="shared" si="5"/>
        <v>15557.477970495289</v>
      </c>
      <c r="K65" s="122">
        <f t="shared" si="6"/>
        <v>2331348.6943995031</v>
      </c>
    </row>
    <row r="66" spans="1:11" x14ac:dyDescent="0.25">
      <c r="A66" s="122"/>
      <c r="B66" s="308">
        <f t="shared" si="0"/>
        <v>5</v>
      </c>
      <c r="C66" s="98">
        <f t="shared" si="1"/>
        <v>52</v>
      </c>
      <c r="D66" s="122">
        <f t="shared" si="2"/>
        <v>2331348.6943995031</v>
      </c>
      <c r="F66" s="122">
        <f t="shared" si="3"/>
        <v>17830.479145268844</v>
      </c>
      <c r="G66" s="122"/>
      <c r="H66" s="122">
        <f t="shared" si="4"/>
        <v>2288.1545159383677</v>
      </c>
      <c r="I66" s="122"/>
      <c r="J66" s="122">
        <f t="shared" si="5"/>
        <v>15542.324629330476</v>
      </c>
      <c r="K66" s="122">
        <f t="shared" si="6"/>
        <v>2329060.5398835647</v>
      </c>
    </row>
    <row r="67" spans="1:11" x14ac:dyDescent="0.25">
      <c r="A67" s="122"/>
      <c r="B67" s="308">
        <f t="shared" si="0"/>
        <v>5</v>
      </c>
      <c r="C67" s="98">
        <f t="shared" si="1"/>
        <v>53</v>
      </c>
      <c r="D67" s="122">
        <f t="shared" si="2"/>
        <v>2329060.5398835647</v>
      </c>
      <c r="F67" s="122">
        <f t="shared" si="3"/>
        <v>17830.479145268844</v>
      </c>
      <c r="G67" s="122"/>
      <c r="H67" s="122">
        <f t="shared" si="4"/>
        <v>2303.4088793783449</v>
      </c>
      <c r="I67" s="122"/>
      <c r="J67" s="122">
        <f t="shared" si="5"/>
        <v>15527.070265890499</v>
      </c>
      <c r="K67" s="122">
        <f t="shared" si="6"/>
        <v>2326757.1310041863</v>
      </c>
    </row>
    <row r="68" spans="1:11" x14ac:dyDescent="0.25">
      <c r="A68" s="122"/>
      <c r="B68" s="308">
        <f t="shared" si="0"/>
        <v>5</v>
      </c>
      <c r="C68" s="98">
        <f t="shared" si="1"/>
        <v>54</v>
      </c>
      <c r="D68" s="122">
        <f t="shared" si="2"/>
        <v>2326757.1310041863</v>
      </c>
      <c r="F68" s="122">
        <f t="shared" si="3"/>
        <v>17830.479145268844</v>
      </c>
      <c r="G68" s="122"/>
      <c r="H68" s="122">
        <f t="shared" si="4"/>
        <v>2318.7649385738187</v>
      </c>
      <c r="I68" s="122"/>
      <c r="J68" s="122">
        <f t="shared" si="5"/>
        <v>15511.714206695025</v>
      </c>
      <c r="K68" s="122">
        <f t="shared" si="6"/>
        <v>2324438.3660656125</v>
      </c>
    </row>
    <row r="69" spans="1:11" x14ac:dyDescent="0.25">
      <c r="A69" s="122"/>
      <c r="B69" s="308">
        <f t="shared" si="0"/>
        <v>5</v>
      </c>
      <c r="C69" s="98">
        <f t="shared" si="1"/>
        <v>55</v>
      </c>
      <c r="D69" s="122">
        <f t="shared" si="2"/>
        <v>2324438.3660656125</v>
      </c>
      <c r="F69" s="122">
        <f t="shared" si="3"/>
        <v>17830.479145268844</v>
      </c>
      <c r="G69" s="122"/>
      <c r="H69" s="122">
        <f t="shared" si="4"/>
        <v>2334.2233714978211</v>
      </c>
      <c r="I69" s="122"/>
      <c r="J69" s="122">
        <f t="shared" si="5"/>
        <v>15496.255773771023</v>
      </c>
      <c r="K69" s="122">
        <f t="shared" si="6"/>
        <v>2322104.1426941147</v>
      </c>
    </row>
    <row r="70" spans="1:11" x14ac:dyDescent="0.25">
      <c r="A70" s="122"/>
      <c r="B70" s="308">
        <f t="shared" si="0"/>
        <v>5</v>
      </c>
      <c r="C70" s="98">
        <f t="shared" si="1"/>
        <v>56</v>
      </c>
      <c r="D70" s="122">
        <f t="shared" si="2"/>
        <v>2322104.1426941147</v>
      </c>
      <c r="F70" s="122">
        <f t="shared" si="3"/>
        <v>17830.479145268844</v>
      </c>
      <c r="G70" s="122"/>
      <c r="H70" s="122">
        <f t="shared" si="4"/>
        <v>2349.7848606412299</v>
      </c>
      <c r="I70" s="122"/>
      <c r="J70" s="122">
        <f t="shared" si="5"/>
        <v>15480.694284627614</v>
      </c>
      <c r="K70" s="122">
        <f t="shared" si="6"/>
        <v>2319754.3578334735</v>
      </c>
    </row>
    <row r="71" spans="1:11" x14ac:dyDescent="0.25">
      <c r="A71" s="122"/>
      <c r="B71" s="308">
        <f t="shared" si="0"/>
        <v>5</v>
      </c>
      <c r="C71" s="98">
        <f t="shared" si="1"/>
        <v>57</v>
      </c>
      <c r="D71" s="122">
        <f t="shared" si="2"/>
        <v>2319754.3578334735</v>
      </c>
      <c r="F71" s="122">
        <f t="shared" si="3"/>
        <v>17830.479145268844</v>
      </c>
      <c r="G71" s="122"/>
      <c r="H71" s="122">
        <f t="shared" si="4"/>
        <v>2365.4500930453651</v>
      </c>
      <c r="I71" s="122"/>
      <c r="J71" s="122">
        <f t="shared" si="5"/>
        <v>15465.029052223479</v>
      </c>
      <c r="K71" s="122">
        <f t="shared" si="6"/>
        <v>2317388.9077404281</v>
      </c>
    </row>
    <row r="72" spans="1:11" x14ac:dyDescent="0.25">
      <c r="A72" s="122"/>
      <c r="B72" s="308">
        <f t="shared" si="0"/>
        <v>5</v>
      </c>
      <c r="C72" s="98">
        <f t="shared" si="1"/>
        <v>58</v>
      </c>
      <c r="D72" s="122">
        <f t="shared" si="2"/>
        <v>2317388.9077404281</v>
      </c>
      <c r="F72" s="122">
        <f t="shared" si="3"/>
        <v>17830.479145268844</v>
      </c>
      <c r="G72" s="122"/>
      <c r="H72" s="122">
        <f t="shared" si="4"/>
        <v>2381.2197603322566</v>
      </c>
      <c r="I72" s="122"/>
      <c r="J72" s="122">
        <f t="shared" si="5"/>
        <v>15449.259384936588</v>
      </c>
      <c r="K72" s="122">
        <f t="shared" si="6"/>
        <v>2315007.6879800959</v>
      </c>
    </row>
    <row r="73" spans="1:11" x14ac:dyDescent="0.25">
      <c r="A73" s="122"/>
      <c r="B73" s="308">
        <f t="shared" si="0"/>
        <v>5</v>
      </c>
      <c r="C73" s="98">
        <f t="shared" si="1"/>
        <v>59</v>
      </c>
      <c r="D73" s="122">
        <f t="shared" si="2"/>
        <v>2315007.6879800959</v>
      </c>
      <c r="F73" s="122">
        <f t="shared" si="3"/>
        <v>17830.479145268844</v>
      </c>
      <c r="G73" s="122"/>
      <c r="H73" s="122">
        <f t="shared" si="4"/>
        <v>2397.0945587344468</v>
      </c>
      <c r="I73" s="122"/>
      <c r="J73" s="122">
        <f t="shared" si="5"/>
        <v>15433.384586534397</v>
      </c>
      <c r="K73" s="122">
        <f t="shared" si="6"/>
        <v>2312610.5934213614</v>
      </c>
    </row>
    <row r="74" spans="1:11" x14ac:dyDescent="0.25">
      <c r="A74" s="122"/>
      <c r="B74" s="308">
        <f t="shared" si="0"/>
        <v>5</v>
      </c>
      <c r="C74" s="98">
        <f t="shared" si="1"/>
        <v>60</v>
      </c>
      <c r="D74" s="122">
        <f t="shared" si="2"/>
        <v>2312610.5934213614</v>
      </c>
      <c r="F74" s="122">
        <f t="shared" si="3"/>
        <v>17830.479145268844</v>
      </c>
      <c r="G74" s="122"/>
      <c r="H74" s="122">
        <f t="shared" si="4"/>
        <v>2413.0751891261898</v>
      </c>
      <c r="I74" s="122"/>
      <c r="J74" s="122">
        <f t="shared" si="5"/>
        <v>15417.403956142654</v>
      </c>
      <c r="K74" s="122">
        <f t="shared" si="6"/>
        <v>2310197.5182322352</v>
      </c>
    </row>
    <row r="75" spans="1:11" x14ac:dyDescent="0.25">
      <c r="A75" s="122"/>
      <c r="B75" s="308">
        <f t="shared" si="0"/>
        <v>6</v>
      </c>
      <c r="C75" s="98">
        <f t="shared" si="1"/>
        <v>61</v>
      </c>
      <c r="D75" s="122">
        <f t="shared" si="2"/>
        <v>2310197.5182322352</v>
      </c>
      <c r="F75" s="122">
        <f t="shared" si="3"/>
        <v>17830.479145268844</v>
      </c>
      <c r="G75" s="122"/>
      <c r="H75" s="122">
        <f t="shared" si="4"/>
        <v>2429.1623570537195</v>
      </c>
      <c r="I75" s="122"/>
      <c r="J75" s="122">
        <f t="shared" si="5"/>
        <v>15401.316788215125</v>
      </c>
      <c r="K75" s="122">
        <f t="shared" si="6"/>
        <v>2307768.3558751815</v>
      </c>
    </row>
    <row r="76" spans="1:11" x14ac:dyDescent="0.25">
      <c r="A76" s="122"/>
      <c r="B76" s="308">
        <f t="shared" si="0"/>
        <v>6</v>
      </c>
      <c r="C76" s="98">
        <f t="shared" si="1"/>
        <v>62</v>
      </c>
      <c r="D76" s="122">
        <f t="shared" si="2"/>
        <v>2307768.3558751815</v>
      </c>
      <c r="F76" s="122">
        <f t="shared" si="3"/>
        <v>17830.479145268844</v>
      </c>
      <c r="G76" s="122"/>
      <c r="H76" s="122">
        <f t="shared" si="4"/>
        <v>2445.3567727673799</v>
      </c>
      <c r="I76" s="122"/>
      <c r="J76" s="122">
        <f t="shared" si="5"/>
        <v>15385.122372501464</v>
      </c>
      <c r="K76" s="122">
        <f t="shared" si="6"/>
        <v>2305322.9991024141</v>
      </c>
    </row>
    <row r="77" spans="1:11" x14ac:dyDescent="0.25">
      <c r="A77" s="122"/>
      <c r="B77" s="308">
        <f t="shared" si="0"/>
        <v>6</v>
      </c>
      <c r="C77" s="98">
        <f t="shared" si="1"/>
        <v>63</v>
      </c>
      <c r="D77" s="122">
        <f t="shared" si="2"/>
        <v>2305322.9991024141</v>
      </c>
      <c r="F77" s="122">
        <f t="shared" si="3"/>
        <v>17830.479145268844</v>
      </c>
      <c r="G77" s="122"/>
      <c r="H77" s="122">
        <f t="shared" si="4"/>
        <v>2461.6591512523592</v>
      </c>
      <c r="I77" s="122"/>
      <c r="J77" s="122">
        <f t="shared" si="5"/>
        <v>15368.819994016485</v>
      </c>
      <c r="K77" s="122">
        <f t="shared" si="6"/>
        <v>2302861.3399511618</v>
      </c>
    </row>
    <row r="78" spans="1:11" x14ac:dyDescent="0.25">
      <c r="A78" s="122"/>
      <c r="B78" s="308">
        <f t="shared" si="0"/>
        <v>6</v>
      </c>
      <c r="C78" s="98">
        <f t="shared" si="1"/>
        <v>64</v>
      </c>
      <c r="D78" s="122">
        <f t="shared" si="2"/>
        <v>2302861.3399511618</v>
      </c>
      <c r="F78" s="122">
        <f t="shared" si="3"/>
        <v>17830.479145268844</v>
      </c>
      <c r="G78" s="122"/>
      <c r="H78" s="122">
        <f t="shared" si="4"/>
        <v>2478.07021226082</v>
      </c>
      <c r="I78" s="122"/>
      <c r="J78" s="122">
        <f t="shared" si="5"/>
        <v>15352.408933008024</v>
      </c>
      <c r="K78" s="122">
        <f t="shared" si="6"/>
        <v>2300383.2697389009</v>
      </c>
    </row>
    <row r="79" spans="1:11" x14ac:dyDescent="0.25">
      <c r="A79" s="122"/>
      <c r="B79" s="308">
        <f t="shared" si="0"/>
        <v>6</v>
      </c>
      <c r="C79" s="98">
        <f t="shared" si="1"/>
        <v>65</v>
      </c>
      <c r="D79" s="122">
        <f t="shared" si="2"/>
        <v>2300383.2697389009</v>
      </c>
      <c r="F79" s="122">
        <f t="shared" si="3"/>
        <v>17830.479145268844</v>
      </c>
      <c r="G79" s="122"/>
      <c r="H79" s="122">
        <f t="shared" si="4"/>
        <v>2494.5906803426333</v>
      </c>
      <c r="I79" s="122"/>
      <c r="J79" s="122">
        <f t="shared" si="5"/>
        <v>15335.888464926211</v>
      </c>
      <c r="K79" s="122">
        <f t="shared" si="6"/>
        <v>2297888.6790585583</v>
      </c>
    </row>
    <row r="80" spans="1:11" x14ac:dyDescent="0.25">
      <c r="A80" s="122"/>
      <c r="B80" s="308">
        <f t="shared" ref="B80:B143" si="7">ROUNDUP(C80/12,0)</f>
        <v>6</v>
      </c>
      <c r="C80" s="98">
        <f t="shared" ref="C80:C143" si="8">C79+1</f>
        <v>66</v>
      </c>
      <c r="D80" s="122">
        <f t="shared" ref="D80:D143" si="9">IF(C80&gt;$H$8+$M$7,0,K79)</f>
        <v>2297888.6790585583</v>
      </c>
      <c r="F80" s="122">
        <f t="shared" ref="F80:F143" si="10">-IF(AND($M$6&gt;0,C80&lt;=$M$7),-$F$10*$F$6,PMT($F$10,$H$8,$F$6,,0))*IF(C80&gt;$H$8+$M$7,0,1)</f>
        <v>17830.479145268844</v>
      </c>
      <c r="G80" s="122"/>
      <c r="H80" s="122">
        <f t="shared" ref="H80:H143" si="11">IF(AND($M$6&gt;0,C80&lt;=$M$7),0,D80-K80)</f>
        <v>2511.2212848784402</v>
      </c>
      <c r="I80" s="122"/>
      <c r="J80" s="122">
        <f t="shared" ref="J80:J143" si="12">F80-H80</f>
        <v>15319.257860390404</v>
      </c>
      <c r="K80" s="122">
        <f t="shared" ref="K80:K143" si="13">-FV($F$10,1,-F80,D80)</f>
        <v>2295377.4577736799</v>
      </c>
    </row>
    <row r="81" spans="1:11" x14ac:dyDescent="0.25">
      <c r="A81" s="122"/>
      <c r="B81" s="308">
        <f t="shared" si="7"/>
        <v>6</v>
      </c>
      <c r="C81" s="98">
        <f t="shared" si="8"/>
        <v>67</v>
      </c>
      <c r="D81" s="122">
        <f t="shared" si="9"/>
        <v>2295377.4577736799</v>
      </c>
      <c r="F81" s="122">
        <f t="shared" si="10"/>
        <v>17830.479145268844</v>
      </c>
      <c r="G81" s="122"/>
      <c r="H81" s="122">
        <f t="shared" si="11"/>
        <v>2527.9627601108514</v>
      </c>
      <c r="I81" s="122"/>
      <c r="J81" s="122">
        <f t="shared" si="12"/>
        <v>15302.516385157993</v>
      </c>
      <c r="K81" s="122">
        <f t="shared" si="13"/>
        <v>2292849.495013569</v>
      </c>
    </row>
    <row r="82" spans="1:11" x14ac:dyDescent="0.25">
      <c r="A82" s="122"/>
      <c r="B82" s="308">
        <f t="shared" si="7"/>
        <v>6</v>
      </c>
      <c r="C82" s="98">
        <f t="shared" si="8"/>
        <v>68</v>
      </c>
      <c r="D82" s="122">
        <f t="shared" si="9"/>
        <v>2292849.495013569</v>
      </c>
      <c r="F82" s="122">
        <f t="shared" si="10"/>
        <v>17830.479145268844</v>
      </c>
      <c r="G82" s="122"/>
      <c r="H82" s="122">
        <f t="shared" si="11"/>
        <v>2544.8158451779746</v>
      </c>
      <c r="I82" s="122"/>
      <c r="J82" s="122">
        <f t="shared" si="12"/>
        <v>15285.66330009087</v>
      </c>
      <c r="K82" s="122">
        <f t="shared" si="13"/>
        <v>2290304.679168391</v>
      </c>
    </row>
    <row r="83" spans="1:11" x14ac:dyDescent="0.25">
      <c r="A83" s="122"/>
      <c r="B83" s="308">
        <f t="shared" si="7"/>
        <v>6</v>
      </c>
      <c r="C83" s="98">
        <f t="shared" si="8"/>
        <v>69</v>
      </c>
      <c r="D83" s="122">
        <f t="shared" si="9"/>
        <v>2290304.679168391</v>
      </c>
      <c r="F83" s="122">
        <f t="shared" si="10"/>
        <v>17830.479145268844</v>
      </c>
      <c r="G83" s="122"/>
      <c r="H83" s="122">
        <f t="shared" si="11"/>
        <v>2561.7812841460109</v>
      </c>
      <c r="I83" s="122"/>
      <c r="J83" s="122">
        <f t="shared" si="12"/>
        <v>15268.697861122833</v>
      </c>
      <c r="K83" s="122">
        <f t="shared" si="13"/>
        <v>2287742.897884245</v>
      </c>
    </row>
    <row r="84" spans="1:11" x14ac:dyDescent="0.25">
      <c r="A84" s="122"/>
      <c r="B84" s="308">
        <f t="shared" si="7"/>
        <v>6</v>
      </c>
      <c r="C84" s="98">
        <f t="shared" si="8"/>
        <v>70</v>
      </c>
      <c r="D84" s="122">
        <f t="shared" si="9"/>
        <v>2287742.897884245</v>
      </c>
      <c r="F84" s="122">
        <f t="shared" si="10"/>
        <v>17830.479145268844</v>
      </c>
      <c r="G84" s="122"/>
      <c r="H84" s="122">
        <f t="shared" si="11"/>
        <v>2578.8598260404542</v>
      </c>
      <c r="I84" s="122"/>
      <c r="J84" s="122">
        <f t="shared" si="12"/>
        <v>15251.61931922839</v>
      </c>
      <c r="K84" s="122">
        <f t="shared" si="13"/>
        <v>2285164.0380582046</v>
      </c>
    </row>
    <row r="85" spans="1:11" x14ac:dyDescent="0.25">
      <c r="A85" s="122"/>
      <c r="B85" s="308">
        <f t="shared" si="7"/>
        <v>6</v>
      </c>
      <c r="C85" s="98">
        <f t="shared" si="8"/>
        <v>71</v>
      </c>
      <c r="D85" s="122">
        <f t="shared" si="9"/>
        <v>2285164.0380582046</v>
      </c>
      <c r="F85" s="122">
        <f t="shared" si="10"/>
        <v>17830.479145268844</v>
      </c>
      <c r="G85" s="122"/>
      <c r="H85" s="122">
        <f t="shared" si="11"/>
        <v>2596.0522248805501</v>
      </c>
      <c r="I85" s="122"/>
      <c r="J85" s="122">
        <f t="shared" si="12"/>
        <v>15234.426920388294</v>
      </c>
      <c r="K85" s="122">
        <f t="shared" si="13"/>
        <v>2282567.985833324</v>
      </c>
    </row>
    <row r="86" spans="1:11" x14ac:dyDescent="0.25">
      <c r="A86" s="122"/>
      <c r="B86" s="308">
        <f t="shared" si="7"/>
        <v>6</v>
      </c>
      <c r="C86" s="98">
        <f t="shared" si="8"/>
        <v>72</v>
      </c>
      <c r="D86" s="122">
        <f t="shared" si="9"/>
        <v>2282567.985833324</v>
      </c>
      <c r="F86" s="122">
        <f t="shared" si="10"/>
        <v>17830.479145268844</v>
      </c>
      <c r="G86" s="122"/>
      <c r="H86" s="122">
        <f t="shared" si="11"/>
        <v>2613.3592397132888</v>
      </c>
      <c r="I86" s="122"/>
      <c r="J86" s="122">
        <f t="shared" si="12"/>
        <v>15217.119905555555</v>
      </c>
      <c r="K86" s="122">
        <f t="shared" si="13"/>
        <v>2279954.6265936107</v>
      </c>
    </row>
    <row r="87" spans="1:11" x14ac:dyDescent="0.25">
      <c r="A87" s="122"/>
      <c r="B87" s="308">
        <f t="shared" si="7"/>
        <v>7</v>
      </c>
      <c r="C87" s="98">
        <f t="shared" si="8"/>
        <v>73</v>
      </c>
      <c r="D87" s="122">
        <f t="shared" si="9"/>
        <v>2279954.6265936107</v>
      </c>
      <c r="F87" s="122">
        <f t="shared" si="10"/>
        <v>17830.479145268844</v>
      </c>
      <c r="G87" s="122"/>
      <c r="H87" s="122">
        <f t="shared" si="11"/>
        <v>2630.7816346446052</v>
      </c>
      <c r="I87" s="122"/>
      <c r="J87" s="122">
        <f t="shared" si="12"/>
        <v>15199.697510624239</v>
      </c>
      <c r="K87" s="122">
        <f t="shared" si="13"/>
        <v>2277323.8449589661</v>
      </c>
    </row>
    <row r="88" spans="1:11" x14ac:dyDescent="0.25">
      <c r="A88" s="122"/>
      <c r="B88" s="308">
        <f t="shared" si="7"/>
        <v>7</v>
      </c>
      <c r="C88" s="98">
        <f t="shared" si="8"/>
        <v>74</v>
      </c>
      <c r="D88" s="122">
        <f t="shared" si="9"/>
        <v>2277323.8449589661</v>
      </c>
      <c r="F88" s="122">
        <f t="shared" si="10"/>
        <v>17830.479145268844</v>
      </c>
      <c r="G88" s="122"/>
      <c r="H88" s="122">
        <f t="shared" si="11"/>
        <v>2648.3201788756996</v>
      </c>
      <c r="I88" s="122"/>
      <c r="J88" s="122">
        <f t="shared" si="12"/>
        <v>15182.158966393145</v>
      </c>
      <c r="K88" s="122">
        <f t="shared" si="13"/>
        <v>2274675.5247800904</v>
      </c>
    </row>
    <row r="89" spans="1:11" x14ac:dyDescent="0.25">
      <c r="A89" s="122"/>
      <c r="B89" s="308">
        <f t="shared" si="7"/>
        <v>7</v>
      </c>
      <c r="C89" s="98">
        <f t="shared" si="8"/>
        <v>75</v>
      </c>
      <c r="D89" s="122">
        <f t="shared" si="9"/>
        <v>2274675.5247800904</v>
      </c>
      <c r="F89" s="122">
        <f t="shared" si="10"/>
        <v>17830.479145268844</v>
      </c>
      <c r="G89" s="122"/>
      <c r="H89" s="122">
        <f t="shared" si="11"/>
        <v>2665.9756467347033</v>
      </c>
      <c r="I89" s="122"/>
      <c r="J89" s="122">
        <f t="shared" si="12"/>
        <v>15164.503498534141</v>
      </c>
      <c r="K89" s="122">
        <f t="shared" si="13"/>
        <v>2272009.5491333557</v>
      </c>
    </row>
    <row r="90" spans="1:11" x14ac:dyDescent="0.25">
      <c r="A90" s="122"/>
      <c r="B90" s="308">
        <f t="shared" si="7"/>
        <v>7</v>
      </c>
      <c r="C90" s="98">
        <f t="shared" si="8"/>
        <v>76</v>
      </c>
      <c r="D90" s="122">
        <f t="shared" si="9"/>
        <v>2272009.5491333557</v>
      </c>
      <c r="F90" s="122">
        <f t="shared" si="10"/>
        <v>17830.479145268844</v>
      </c>
      <c r="G90" s="122"/>
      <c r="H90" s="122">
        <f t="shared" si="11"/>
        <v>2683.7488177129999</v>
      </c>
      <c r="I90" s="122"/>
      <c r="J90" s="122">
        <f t="shared" si="12"/>
        <v>15146.730327555844</v>
      </c>
      <c r="K90" s="122">
        <f t="shared" si="13"/>
        <v>2269325.8003156427</v>
      </c>
    </row>
    <row r="91" spans="1:11" x14ac:dyDescent="0.25">
      <c r="A91" s="122"/>
      <c r="B91" s="308">
        <f t="shared" si="7"/>
        <v>7</v>
      </c>
      <c r="C91" s="98">
        <f t="shared" si="8"/>
        <v>77</v>
      </c>
      <c r="D91" s="122">
        <f t="shared" si="9"/>
        <v>2269325.8003156427</v>
      </c>
      <c r="F91" s="122">
        <f t="shared" si="10"/>
        <v>17830.479145268844</v>
      </c>
      <c r="G91" s="122"/>
      <c r="H91" s="122">
        <f t="shared" si="11"/>
        <v>2701.6404764978215</v>
      </c>
      <c r="I91" s="122"/>
      <c r="J91" s="122">
        <f t="shared" si="12"/>
        <v>15128.838668771023</v>
      </c>
      <c r="K91" s="122">
        <f t="shared" si="13"/>
        <v>2266624.1598391449</v>
      </c>
    </row>
    <row r="92" spans="1:11" x14ac:dyDescent="0.25">
      <c r="A92" s="122"/>
      <c r="B92" s="308">
        <f t="shared" si="7"/>
        <v>7</v>
      </c>
      <c r="C92" s="98">
        <f t="shared" si="8"/>
        <v>78</v>
      </c>
      <c r="D92" s="122">
        <f t="shared" si="9"/>
        <v>2266624.1598391449</v>
      </c>
      <c r="F92" s="122">
        <f t="shared" si="10"/>
        <v>17830.479145268844</v>
      </c>
      <c r="G92" s="122"/>
      <c r="H92" s="122">
        <f t="shared" si="11"/>
        <v>2719.6514130076393</v>
      </c>
      <c r="I92" s="122"/>
      <c r="J92" s="122">
        <f t="shared" si="12"/>
        <v>15110.827732261205</v>
      </c>
      <c r="K92" s="122">
        <f t="shared" si="13"/>
        <v>2263904.5084261373</v>
      </c>
    </row>
    <row r="93" spans="1:11" x14ac:dyDescent="0.25">
      <c r="A93" s="122"/>
      <c r="B93" s="308">
        <f t="shared" si="7"/>
        <v>7</v>
      </c>
      <c r="C93" s="98">
        <f t="shared" si="8"/>
        <v>79</v>
      </c>
      <c r="D93" s="122">
        <f t="shared" si="9"/>
        <v>2263904.5084261373</v>
      </c>
      <c r="F93" s="122">
        <f t="shared" si="10"/>
        <v>17830.479145268844</v>
      </c>
      <c r="G93" s="122"/>
      <c r="H93" s="122">
        <f t="shared" si="11"/>
        <v>2737.7824224275537</v>
      </c>
      <c r="I93" s="122"/>
      <c r="J93" s="122">
        <f t="shared" si="12"/>
        <v>15092.69672284129</v>
      </c>
      <c r="K93" s="122">
        <f t="shared" si="13"/>
        <v>2261166.7260037097</v>
      </c>
    </row>
    <row r="94" spans="1:11" x14ac:dyDescent="0.25">
      <c r="A94" s="122"/>
      <c r="B94" s="308">
        <f t="shared" si="7"/>
        <v>7</v>
      </c>
      <c r="C94" s="98">
        <f t="shared" si="8"/>
        <v>80</v>
      </c>
      <c r="D94" s="122">
        <f t="shared" si="9"/>
        <v>2261166.7260037097</v>
      </c>
      <c r="F94" s="122">
        <f t="shared" si="10"/>
        <v>17830.479145268844</v>
      </c>
      <c r="G94" s="122"/>
      <c r="H94" s="122">
        <f t="shared" si="11"/>
        <v>2756.0343052437529</v>
      </c>
      <c r="I94" s="122"/>
      <c r="J94" s="122">
        <f t="shared" si="12"/>
        <v>15074.444840025091</v>
      </c>
      <c r="K94" s="122">
        <f t="shared" si="13"/>
        <v>2258410.691698466</v>
      </c>
    </row>
    <row r="95" spans="1:11" x14ac:dyDescent="0.25">
      <c r="A95" s="122"/>
      <c r="B95" s="308">
        <f t="shared" si="7"/>
        <v>7</v>
      </c>
      <c r="C95" s="98">
        <f t="shared" si="8"/>
        <v>81</v>
      </c>
      <c r="D95" s="122">
        <f t="shared" si="9"/>
        <v>2258410.691698466</v>
      </c>
      <c r="F95" s="122">
        <f t="shared" si="10"/>
        <v>17830.479145268844</v>
      </c>
      <c r="G95" s="122"/>
      <c r="H95" s="122">
        <f t="shared" si="11"/>
        <v>2774.4078672789037</v>
      </c>
      <c r="I95" s="122"/>
      <c r="J95" s="122">
        <f t="shared" si="12"/>
        <v>15056.07127798994</v>
      </c>
      <c r="K95" s="122">
        <f t="shared" si="13"/>
        <v>2255636.2838311871</v>
      </c>
    </row>
    <row r="96" spans="1:11" x14ac:dyDescent="0.25">
      <c r="A96" s="122"/>
      <c r="B96" s="308">
        <f t="shared" si="7"/>
        <v>7</v>
      </c>
      <c r="C96" s="98">
        <f t="shared" si="8"/>
        <v>82</v>
      </c>
      <c r="D96" s="122">
        <f t="shared" si="9"/>
        <v>2255636.2838311871</v>
      </c>
      <c r="F96" s="122">
        <f t="shared" si="10"/>
        <v>17830.479145268844</v>
      </c>
      <c r="G96" s="122"/>
      <c r="H96" s="122">
        <f t="shared" si="11"/>
        <v>2792.9039197275415</v>
      </c>
      <c r="I96" s="122"/>
      <c r="J96" s="122">
        <f t="shared" si="12"/>
        <v>15037.575225541303</v>
      </c>
      <c r="K96" s="122">
        <f t="shared" si="13"/>
        <v>2252843.3799114595</v>
      </c>
    </row>
    <row r="97" spans="1:11" x14ac:dyDescent="0.25">
      <c r="A97" s="122"/>
      <c r="B97" s="308">
        <f t="shared" si="7"/>
        <v>7</v>
      </c>
      <c r="C97" s="98">
        <f t="shared" si="8"/>
        <v>83</v>
      </c>
      <c r="D97" s="122">
        <f t="shared" si="9"/>
        <v>2252843.3799114595</v>
      </c>
      <c r="F97" s="122">
        <f t="shared" si="10"/>
        <v>17830.479145268844</v>
      </c>
      <c r="G97" s="122"/>
      <c r="H97" s="122">
        <f t="shared" si="11"/>
        <v>2811.5232791923918</v>
      </c>
      <c r="I97" s="122"/>
      <c r="J97" s="122">
        <f t="shared" si="12"/>
        <v>15018.955866076452</v>
      </c>
      <c r="K97" s="122">
        <f t="shared" si="13"/>
        <v>2250031.8566322671</v>
      </c>
    </row>
    <row r="98" spans="1:11" x14ac:dyDescent="0.25">
      <c r="A98" s="122"/>
      <c r="B98" s="308">
        <f t="shared" si="7"/>
        <v>7</v>
      </c>
      <c r="C98" s="98">
        <f t="shared" si="8"/>
        <v>84</v>
      </c>
      <c r="D98" s="122">
        <f t="shared" si="9"/>
        <v>2250031.8566322671</v>
      </c>
      <c r="F98" s="122">
        <f t="shared" si="10"/>
        <v>17830.479145268844</v>
      </c>
      <c r="G98" s="122"/>
      <c r="H98" s="122">
        <f t="shared" si="11"/>
        <v>2830.2667677202262</v>
      </c>
      <c r="I98" s="122"/>
      <c r="J98" s="122">
        <f t="shared" si="12"/>
        <v>15000.212377548618</v>
      </c>
      <c r="K98" s="122">
        <f t="shared" si="13"/>
        <v>2247201.5898645469</v>
      </c>
    </row>
    <row r="99" spans="1:11" x14ac:dyDescent="0.25">
      <c r="A99" s="122"/>
      <c r="B99" s="308">
        <f t="shared" si="7"/>
        <v>8</v>
      </c>
      <c r="C99" s="98">
        <f t="shared" si="8"/>
        <v>85</v>
      </c>
      <c r="D99" s="122">
        <f t="shared" si="9"/>
        <v>2247201.5898645469</v>
      </c>
      <c r="F99" s="122">
        <f t="shared" si="10"/>
        <v>17830.479145268844</v>
      </c>
      <c r="G99" s="122"/>
      <c r="H99" s="122">
        <f t="shared" si="11"/>
        <v>2849.1352128381841</v>
      </c>
      <c r="I99" s="122"/>
      <c r="J99" s="122">
        <f t="shared" si="12"/>
        <v>14981.34393243066</v>
      </c>
      <c r="K99" s="122">
        <f t="shared" si="13"/>
        <v>2244352.4546517087</v>
      </c>
    </row>
    <row r="100" spans="1:11" x14ac:dyDescent="0.25">
      <c r="A100" s="122"/>
      <c r="B100" s="308">
        <f t="shared" si="7"/>
        <v>8</v>
      </c>
      <c r="C100" s="98">
        <f t="shared" si="8"/>
        <v>86</v>
      </c>
      <c r="D100" s="122">
        <f t="shared" si="9"/>
        <v>2244352.4546517087</v>
      </c>
      <c r="F100" s="122">
        <f t="shared" si="10"/>
        <v>17830.479145268844</v>
      </c>
      <c r="G100" s="122"/>
      <c r="H100" s="122">
        <f t="shared" si="11"/>
        <v>2868.1294475905597</v>
      </c>
      <c r="I100" s="122"/>
      <c r="J100" s="122">
        <f t="shared" si="12"/>
        <v>14962.349697678284</v>
      </c>
      <c r="K100" s="122">
        <f t="shared" si="13"/>
        <v>2241484.3252041182</v>
      </c>
    </row>
    <row r="101" spans="1:11" x14ac:dyDescent="0.25">
      <c r="A101" s="122"/>
      <c r="B101" s="308">
        <f t="shared" si="7"/>
        <v>8</v>
      </c>
      <c r="C101" s="98">
        <f t="shared" si="8"/>
        <v>87</v>
      </c>
      <c r="D101" s="122">
        <f t="shared" si="9"/>
        <v>2241484.3252041182</v>
      </c>
      <c r="F101" s="122">
        <f t="shared" si="10"/>
        <v>17830.479145268844</v>
      </c>
      <c r="G101" s="122"/>
      <c r="H101" s="122">
        <f t="shared" si="11"/>
        <v>2887.2503105746582</v>
      </c>
      <c r="I101" s="122"/>
      <c r="J101" s="122">
        <f t="shared" si="12"/>
        <v>14943.228834694186</v>
      </c>
      <c r="K101" s="122">
        <f t="shared" si="13"/>
        <v>2238597.0748935435</v>
      </c>
    </row>
    <row r="102" spans="1:11" x14ac:dyDescent="0.25">
      <c r="A102" s="122"/>
      <c r="B102" s="308">
        <f t="shared" si="7"/>
        <v>8</v>
      </c>
      <c r="C102" s="98">
        <f t="shared" si="8"/>
        <v>88</v>
      </c>
      <c r="D102" s="122">
        <f t="shared" si="9"/>
        <v>2238597.0748935435</v>
      </c>
      <c r="F102" s="122">
        <f t="shared" si="10"/>
        <v>17830.479145268844</v>
      </c>
      <c r="G102" s="122"/>
      <c r="H102" s="122">
        <f t="shared" si="11"/>
        <v>2906.4986459785141</v>
      </c>
      <c r="I102" s="122"/>
      <c r="J102" s="122">
        <f t="shared" si="12"/>
        <v>14923.98049929033</v>
      </c>
      <c r="K102" s="122">
        <f t="shared" si="13"/>
        <v>2235690.576247565</v>
      </c>
    </row>
    <row r="103" spans="1:11" x14ac:dyDescent="0.25">
      <c r="A103" s="122"/>
      <c r="B103" s="308">
        <f t="shared" si="7"/>
        <v>8</v>
      </c>
      <c r="C103" s="98">
        <f t="shared" si="8"/>
        <v>89</v>
      </c>
      <c r="D103" s="122">
        <f t="shared" si="9"/>
        <v>2235690.576247565</v>
      </c>
      <c r="F103" s="122">
        <f t="shared" si="10"/>
        <v>17830.479145268844</v>
      </c>
      <c r="G103" s="122"/>
      <c r="H103" s="122">
        <f t="shared" si="11"/>
        <v>2925.8753036181442</v>
      </c>
      <c r="I103" s="122"/>
      <c r="J103" s="122">
        <f t="shared" si="12"/>
        <v>14904.6038416507</v>
      </c>
      <c r="K103" s="122">
        <f t="shared" si="13"/>
        <v>2232764.7009439468</v>
      </c>
    </row>
    <row r="104" spans="1:11" x14ac:dyDescent="0.25">
      <c r="A104" s="122"/>
      <c r="B104" s="308">
        <f t="shared" si="7"/>
        <v>8</v>
      </c>
      <c r="C104" s="98">
        <f t="shared" si="8"/>
        <v>90</v>
      </c>
      <c r="D104" s="122">
        <f t="shared" si="9"/>
        <v>2232764.7009439468</v>
      </c>
      <c r="F104" s="122">
        <f t="shared" si="10"/>
        <v>17830.479145268844</v>
      </c>
      <c r="G104" s="122"/>
      <c r="H104" s="122">
        <f t="shared" si="11"/>
        <v>2945.381138975732</v>
      </c>
      <c r="I104" s="122"/>
      <c r="J104" s="122">
        <f t="shared" si="12"/>
        <v>14885.098006293112</v>
      </c>
      <c r="K104" s="122">
        <f t="shared" si="13"/>
        <v>2229819.3198049711</v>
      </c>
    </row>
    <row r="105" spans="1:11" x14ac:dyDescent="0.25">
      <c r="A105" s="122"/>
      <c r="B105" s="308">
        <f t="shared" si="7"/>
        <v>8</v>
      </c>
      <c r="C105" s="98">
        <f t="shared" si="8"/>
        <v>91</v>
      </c>
      <c r="D105" s="122">
        <f t="shared" si="9"/>
        <v>2229819.3198049711</v>
      </c>
      <c r="F105" s="122">
        <f t="shared" si="10"/>
        <v>17830.479145268844</v>
      </c>
      <c r="G105" s="122"/>
      <c r="H105" s="122">
        <f t="shared" si="11"/>
        <v>2965.0170132354833</v>
      </c>
      <c r="I105" s="122"/>
      <c r="J105" s="122">
        <f t="shared" si="12"/>
        <v>14865.462132033361</v>
      </c>
      <c r="K105" s="122">
        <f t="shared" si="13"/>
        <v>2226854.3027917356</v>
      </c>
    </row>
    <row r="106" spans="1:11" x14ac:dyDescent="0.25">
      <c r="A106" s="122"/>
      <c r="B106" s="308">
        <f t="shared" si="7"/>
        <v>8</v>
      </c>
      <c r="C106" s="98">
        <f t="shared" si="8"/>
        <v>92</v>
      </c>
      <c r="D106" s="122">
        <f t="shared" si="9"/>
        <v>2226854.3027917356</v>
      </c>
      <c r="F106" s="122">
        <f t="shared" si="10"/>
        <v>17830.479145268844</v>
      </c>
      <c r="G106" s="122"/>
      <c r="H106" s="122">
        <f t="shared" si="11"/>
        <v>2984.7837933236733</v>
      </c>
      <c r="I106" s="122"/>
      <c r="J106" s="122">
        <f t="shared" si="12"/>
        <v>14845.695351945171</v>
      </c>
      <c r="K106" s="122">
        <f t="shared" si="13"/>
        <v>2223869.5189984119</v>
      </c>
    </row>
    <row r="107" spans="1:11" x14ac:dyDescent="0.25">
      <c r="A107" s="122"/>
      <c r="B107" s="308">
        <f t="shared" si="7"/>
        <v>8</v>
      </c>
      <c r="C107" s="98">
        <f t="shared" si="8"/>
        <v>93</v>
      </c>
      <c r="D107" s="122">
        <f t="shared" si="9"/>
        <v>2223869.5189984119</v>
      </c>
      <c r="F107" s="122">
        <f t="shared" si="10"/>
        <v>17830.479145268844</v>
      </c>
      <c r="G107" s="122"/>
      <c r="H107" s="122">
        <f t="shared" si="11"/>
        <v>3004.6823519458994</v>
      </c>
      <c r="I107" s="122"/>
      <c r="J107" s="122">
        <f t="shared" si="12"/>
        <v>14825.796793322945</v>
      </c>
      <c r="K107" s="122">
        <f t="shared" si="13"/>
        <v>2220864.8366464661</v>
      </c>
    </row>
    <row r="108" spans="1:11" x14ac:dyDescent="0.25">
      <c r="A108" s="122"/>
      <c r="B108" s="308">
        <f t="shared" si="7"/>
        <v>8</v>
      </c>
      <c r="C108" s="98">
        <f t="shared" si="8"/>
        <v>94</v>
      </c>
      <c r="D108" s="122">
        <f t="shared" si="9"/>
        <v>2220864.8366464661</v>
      </c>
      <c r="F108" s="122">
        <f t="shared" si="10"/>
        <v>17830.479145268844</v>
      </c>
      <c r="G108" s="122"/>
      <c r="H108" s="122">
        <f t="shared" si="11"/>
        <v>3024.7135676252656</v>
      </c>
      <c r="I108" s="122"/>
      <c r="J108" s="122">
        <f t="shared" si="12"/>
        <v>14805.765577643579</v>
      </c>
      <c r="K108" s="122">
        <f t="shared" si="13"/>
        <v>2217840.1230788408</v>
      </c>
    </row>
    <row r="109" spans="1:11" x14ac:dyDescent="0.25">
      <c r="A109" s="122"/>
      <c r="B109" s="308">
        <f t="shared" si="7"/>
        <v>8</v>
      </c>
      <c r="C109" s="98">
        <f t="shared" si="8"/>
        <v>95</v>
      </c>
      <c r="D109" s="122">
        <f t="shared" si="9"/>
        <v>2217840.1230788408</v>
      </c>
      <c r="F109" s="122">
        <f t="shared" si="10"/>
        <v>17830.479145268844</v>
      </c>
      <c r="G109" s="122"/>
      <c r="H109" s="122">
        <f t="shared" si="11"/>
        <v>3044.8783247428946</v>
      </c>
      <c r="I109" s="122"/>
      <c r="J109" s="122">
        <f t="shared" si="12"/>
        <v>14785.60082052595</v>
      </c>
      <c r="K109" s="122">
        <f t="shared" si="13"/>
        <v>2214795.2447540979</v>
      </c>
    </row>
    <row r="110" spans="1:11" x14ac:dyDescent="0.25">
      <c r="A110" s="122"/>
      <c r="B110" s="308">
        <f t="shared" si="7"/>
        <v>8</v>
      </c>
      <c r="C110" s="98">
        <f t="shared" si="8"/>
        <v>96</v>
      </c>
      <c r="D110" s="122">
        <f t="shared" si="9"/>
        <v>2214795.2447540979</v>
      </c>
      <c r="F110" s="122">
        <f t="shared" si="10"/>
        <v>17830.479145268844</v>
      </c>
      <c r="G110" s="122"/>
      <c r="H110" s="122">
        <f t="shared" si="11"/>
        <v>3065.1775135747157</v>
      </c>
      <c r="I110" s="122"/>
      <c r="J110" s="122">
        <f t="shared" si="12"/>
        <v>14765.301631694128</v>
      </c>
      <c r="K110" s="122">
        <f t="shared" si="13"/>
        <v>2211730.0672405232</v>
      </c>
    </row>
    <row r="111" spans="1:11" x14ac:dyDescent="0.25">
      <c r="A111" s="122"/>
      <c r="B111" s="308">
        <f t="shared" si="7"/>
        <v>9</v>
      </c>
      <c r="C111" s="98">
        <f t="shared" si="8"/>
        <v>97</v>
      </c>
      <c r="D111" s="122">
        <f t="shared" si="9"/>
        <v>2211730.0672405232</v>
      </c>
      <c r="F111" s="122">
        <f t="shared" si="10"/>
        <v>17830.479145268844</v>
      </c>
      <c r="G111" s="122"/>
      <c r="H111" s="122">
        <f t="shared" si="11"/>
        <v>3085.6120303319767</v>
      </c>
      <c r="I111" s="122"/>
      <c r="J111" s="122">
        <f t="shared" si="12"/>
        <v>14744.867114936867</v>
      </c>
      <c r="K111" s="122">
        <f t="shared" si="13"/>
        <v>2208644.4552101912</v>
      </c>
    </row>
    <row r="112" spans="1:11" x14ac:dyDescent="0.25">
      <c r="A112" s="122"/>
      <c r="B112" s="308">
        <f t="shared" si="7"/>
        <v>9</v>
      </c>
      <c r="C112" s="98">
        <f t="shared" si="8"/>
        <v>98</v>
      </c>
      <c r="D112" s="122">
        <f t="shared" si="9"/>
        <v>2208644.4552101912</v>
      </c>
      <c r="F112" s="122">
        <f t="shared" si="10"/>
        <v>17830.479145268844</v>
      </c>
      <c r="G112" s="122"/>
      <c r="H112" s="122">
        <f t="shared" si="11"/>
        <v>3106.1827772008255</v>
      </c>
      <c r="I112" s="122"/>
      <c r="J112" s="122">
        <f t="shared" si="12"/>
        <v>14724.296368068019</v>
      </c>
      <c r="K112" s="122">
        <f t="shared" si="13"/>
        <v>2205538.2724329904</v>
      </c>
    </row>
    <row r="113" spans="1:11" x14ac:dyDescent="0.25">
      <c r="A113" s="122"/>
      <c r="B113" s="308">
        <f t="shared" si="7"/>
        <v>9</v>
      </c>
      <c r="C113" s="98">
        <f t="shared" si="8"/>
        <v>99</v>
      </c>
      <c r="D113" s="122">
        <f t="shared" si="9"/>
        <v>2205538.2724329904</v>
      </c>
      <c r="F113" s="122">
        <f t="shared" si="10"/>
        <v>17830.479145268844</v>
      </c>
      <c r="G113" s="122"/>
      <c r="H113" s="122">
        <f t="shared" si="11"/>
        <v>3126.8906623818912</v>
      </c>
      <c r="I113" s="122"/>
      <c r="J113" s="122">
        <f t="shared" si="12"/>
        <v>14703.588482886953</v>
      </c>
      <c r="K113" s="122">
        <f t="shared" si="13"/>
        <v>2202411.3817706085</v>
      </c>
    </row>
    <row r="114" spans="1:11" x14ac:dyDescent="0.25">
      <c r="A114" s="122"/>
      <c r="B114" s="308">
        <f t="shared" si="7"/>
        <v>9</v>
      </c>
      <c r="C114" s="98">
        <f t="shared" si="8"/>
        <v>100</v>
      </c>
      <c r="D114" s="122">
        <f t="shared" si="9"/>
        <v>2202411.3817706085</v>
      </c>
      <c r="F114" s="122">
        <f t="shared" si="10"/>
        <v>17830.479145268844</v>
      </c>
      <c r="G114" s="122"/>
      <c r="H114" s="122">
        <f t="shared" si="11"/>
        <v>3147.7366001312621</v>
      </c>
      <c r="I114" s="122"/>
      <c r="J114" s="122">
        <f t="shared" si="12"/>
        <v>14682.742545137582</v>
      </c>
      <c r="K114" s="122">
        <f t="shared" si="13"/>
        <v>2199263.6451704772</v>
      </c>
    </row>
    <row r="115" spans="1:11" x14ac:dyDescent="0.25">
      <c r="A115" s="122"/>
      <c r="B115" s="308">
        <f t="shared" si="7"/>
        <v>9</v>
      </c>
      <c r="C115" s="98">
        <f t="shared" si="8"/>
        <v>101</v>
      </c>
      <c r="D115" s="122">
        <f t="shared" si="9"/>
        <v>2199263.6451704772</v>
      </c>
      <c r="F115" s="122">
        <f t="shared" si="10"/>
        <v>17830.479145268844</v>
      </c>
      <c r="G115" s="122"/>
      <c r="H115" s="122">
        <f t="shared" si="11"/>
        <v>3168.7215107986704</v>
      </c>
      <c r="I115" s="122"/>
      <c r="J115" s="122">
        <f t="shared" si="12"/>
        <v>14661.757634470174</v>
      </c>
      <c r="K115" s="122">
        <f t="shared" si="13"/>
        <v>2196094.9236596785</v>
      </c>
    </row>
    <row r="116" spans="1:11" x14ac:dyDescent="0.25">
      <c r="A116" s="122"/>
      <c r="B116" s="308">
        <f t="shared" si="7"/>
        <v>9</v>
      </c>
      <c r="C116" s="98">
        <f t="shared" si="8"/>
        <v>102</v>
      </c>
      <c r="D116" s="122">
        <f t="shared" si="9"/>
        <v>2196094.9236596785</v>
      </c>
      <c r="F116" s="122">
        <f t="shared" si="10"/>
        <v>17830.479145268844</v>
      </c>
      <c r="G116" s="122"/>
      <c r="H116" s="122">
        <f t="shared" si="11"/>
        <v>3189.8463208707981</v>
      </c>
      <c r="I116" s="122"/>
      <c r="J116" s="122">
        <f t="shared" si="12"/>
        <v>14640.632824398046</v>
      </c>
      <c r="K116" s="122">
        <f t="shared" si="13"/>
        <v>2192905.0773388078</v>
      </c>
    </row>
    <row r="117" spans="1:11" x14ac:dyDescent="0.25">
      <c r="A117" s="122"/>
      <c r="B117" s="308">
        <f t="shared" si="7"/>
        <v>9</v>
      </c>
      <c r="C117" s="98">
        <f t="shared" si="8"/>
        <v>103</v>
      </c>
      <c r="D117" s="122">
        <f t="shared" si="9"/>
        <v>2192905.0773388078</v>
      </c>
      <c r="F117" s="122">
        <f t="shared" si="10"/>
        <v>17830.479145268844</v>
      </c>
      <c r="G117" s="122"/>
      <c r="H117" s="122">
        <f t="shared" si="11"/>
        <v>3211.1119630099274</v>
      </c>
      <c r="I117" s="122"/>
      <c r="J117" s="122">
        <f t="shared" si="12"/>
        <v>14619.367182258917</v>
      </c>
      <c r="K117" s="122">
        <f t="shared" si="13"/>
        <v>2189693.9653757978</v>
      </c>
    </row>
    <row r="118" spans="1:11" x14ac:dyDescent="0.25">
      <c r="A118" s="122"/>
      <c r="B118" s="308">
        <f t="shared" si="7"/>
        <v>9</v>
      </c>
      <c r="C118" s="98">
        <f t="shared" si="8"/>
        <v>104</v>
      </c>
      <c r="D118" s="122">
        <f t="shared" si="9"/>
        <v>2189693.9653757978</v>
      </c>
      <c r="F118" s="122">
        <f t="shared" si="10"/>
        <v>17830.479145268844</v>
      </c>
      <c r="G118" s="122"/>
      <c r="H118" s="122">
        <f t="shared" si="11"/>
        <v>3232.5193760967813</v>
      </c>
      <c r="I118" s="122"/>
      <c r="J118" s="122">
        <f t="shared" si="12"/>
        <v>14597.959769172063</v>
      </c>
      <c r="K118" s="122">
        <f t="shared" si="13"/>
        <v>2186461.445999701</v>
      </c>
    </row>
    <row r="119" spans="1:11" x14ac:dyDescent="0.25">
      <c r="A119" s="122"/>
      <c r="B119" s="308">
        <f t="shared" si="7"/>
        <v>9</v>
      </c>
      <c r="C119" s="98">
        <f t="shared" si="8"/>
        <v>105</v>
      </c>
      <c r="D119" s="122">
        <f t="shared" si="9"/>
        <v>2186461.445999701</v>
      </c>
      <c r="F119" s="122">
        <f t="shared" si="10"/>
        <v>17830.479145268844</v>
      </c>
      <c r="G119" s="122"/>
      <c r="H119" s="122">
        <f t="shared" si="11"/>
        <v>3254.0695052705705</v>
      </c>
      <c r="I119" s="122"/>
      <c r="J119" s="122">
        <f t="shared" si="12"/>
        <v>14576.409639998274</v>
      </c>
      <c r="K119" s="122">
        <f t="shared" si="13"/>
        <v>2183207.3764944305</v>
      </c>
    </row>
    <row r="120" spans="1:11" x14ac:dyDescent="0.25">
      <c r="A120" s="122"/>
      <c r="B120" s="308">
        <f t="shared" si="7"/>
        <v>9</v>
      </c>
      <c r="C120" s="98">
        <f t="shared" si="8"/>
        <v>106</v>
      </c>
      <c r="D120" s="122">
        <f t="shared" si="9"/>
        <v>2183207.3764944305</v>
      </c>
      <c r="F120" s="122">
        <f t="shared" si="10"/>
        <v>17830.479145268844</v>
      </c>
      <c r="G120" s="122"/>
      <c r="H120" s="122">
        <f t="shared" si="11"/>
        <v>3275.7633019722998</v>
      </c>
      <c r="I120" s="122"/>
      <c r="J120" s="122">
        <f t="shared" si="12"/>
        <v>14554.715843296544</v>
      </c>
      <c r="K120" s="122">
        <f t="shared" si="13"/>
        <v>2179931.6131924582</v>
      </c>
    </row>
    <row r="121" spans="1:11" x14ac:dyDescent="0.25">
      <c r="A121" s="122"/>
      <c r="B121" s="308">
        <f t="shared" si="7"/>
        <v>9</v>
      </c>
      <c r="C121" s="98">
        <f t="shared" si="8"/>
        <v>107</v>
      </c>
      <c r="D121" s="122">
        <f t="shared" si="9"/>
        <v>2179931.6131924582</v>
      </c>
      <c r="F121" s="122">
        <f t="shared" si="10"/>
        <v>17830.479145268844</v>
      </c>
      <c r="G121" s="122"/>
      <c r="H121" s="122">
        <f t="shared" si="11"/>
        <v>3297.6017239857465</v>
      </c>
      <c r="I121" s="122"/>
      <c r="J121" s="122">
        <f t="shared" si="12"/>
        <v>14532.877421283098</v>
      </c>
      <c r="K121" s="122">
        <f t="shared" si="13"/>
        <v>2176634.0114684724</v>
      </c>
    </row>
    <row r="122" spans="1:11" x14ac:dyDescent="0.25">
      <c r="A122" s="122"/>
      <c r="B122" s="308">
        <f t="shared" si="7"/>
        <v>9</v>
      </c>
      <c r="C122" s="98">
        <f t="shared" si="8"/>
        <v>108</v>
      </c>
      <c r="D122" s="122">
        <f t="shared" si="9"/>
        <v>2176634.0114684724</v>
      </c>
      <c r="F122" s="122">
        <f t="shared" si="10"/>
        <v>17830.479145268844</v>
      </c>
      <c r="G122" s="122"/>
      <c r="H122" s="122">
        <f t="shared" si="11"/>
        <v>3319.5857354789041</v>
      </c>
      <c r="I122" s="122"/>
      <c r="J122" s="122">
        <f t="shared" si="12"/>
        <v>14510.89340978994</v>
      </c>
      <c r="K122" s="122">
        <f t="shared" si="13"/>
        <v>2173314.4257329935</v>
      </c>
    </row>
    <row r="123" spans="1:11" x14ac:dyDescent="0.25">
      <c r="A123" s="122"/>
      <c r="B123" s="308">
        <f t="shared" si="7"/>
        <v>10</v>
      </c>
      <c r="C123" s="98">
        <f t="shared" si="8"/>
        <v>109</v>
      </c>
      <c r="D123" s="122">
        <f t="shared" si="9"/>
        <v>2173314.4257329935</v>
      </c>
      <c r="F123" s="122">
        <f t="shared" si="10"/>
        <v>17830.479145268844</v>
      </c>
      <c r="G123" s="122"/>
      <c r="H123" s="122">
        <f t="shared" si="11"/>
        <v>3341.7163070486858</v>
      </c>
      <c r="I123" s="122"/>
      <c r="J123" s="122">
        <f t="shared" si="12"/>
        <v>14488.762838220158</v>
      </c>
      <c r="K123" s="122">
        <f t="shared" si="13"/>
        <v>2169972.7094259448</v>
      </c>
    </row>
    <row r="124" spans="1:11" x14ac:dyDescent="0.25">
      <c r="A124" s="122"/>
      <c r="B124" s="308">
        <f t="shared" si="7"/>
        <v>10</v>
      </c>
      <c r="C124" s="98">
        <f t="shared" si="8"/>
        <v>110</v>
      </c>
      <c r="D124" s="122">
        <f t="shared" si="9"/>
        <v>2169972.7094259448</v>
      </c>
      <c r="F124" s="122">
        <f t="shared" si="10"/>
        <v>17830.479145268844</v>
      </c>
      <c r="G124" s="122"/>
      <c r="H124" s="122">
        <f t="shared" si="11"/>
        <v>3363.9944157623686</v>
      </c>
      <c r="I124" s="122"/>
      <c r="J124" s="122">
        <f t="shared" si="12"/>
        <v>14466.484729506476</v>
      </c>
      <c r="K124" s="122">
        <f t="shared" si="13"/>
        <v>2166608.7150101825</v>
      </c>
    </row>
    <row r="125" spans="1:11" x14ac:dyDescent="0.25">
      <c r="A125" s="122"/>
      <c r="B125" s="308">
        <f t="shared" si="7"/>
        <v>10</v>
      </c>
      <c r="C125" s="98">
        <f t="shared" si="8"/>
        <v>111</v>
      </c>
      <c r="D125" s="122">
        <f t="shared" si="9"/>
        <v>2166608.7150101825</v>
      </c>
      <c r="F125" s="122">
        <f t="shared" si="10"/>
        <v>17830.479145268844</v>
      </c>
      <c r="G125" s="122"/>
      <c r="H125" s="122">
        <f t="shared" si="11"/>
        <v>3386.4210452008992</v>
      </c>
      <c r="I125" s="122"/>
      <c r="J125" s="122">
        <f t="shared" si="12"/>
        <v>14444.058100067945</v>
      </c>
      <c r="K125" s="122">
        <f t="shared" si="13"/>
        <v>2163222.2939649816</v>
      </c>
    </row>
    <row r="126" spans="1:11" x14ac:dyDescent="0.25">
      <c r="A126" s="122"/>
      <c r="B126" s="308">
        <f t="shared" si="7"/>
        <v>10</v>
      </c>
      <c r="C126" s="98">
        <f t="shared" si="8"/>
        <v>112</v>
      </c>
      <c r="D126" s="122">
        <f t="shared" si="9"/>
        <v>2163222.2939649816</v>
      </c>
      <c r="F126" s="122">
        <f t="shared" si="10"/>
        <v>17830.479145268844</v>
      </c>
      <c r="G126" s="122"/>
      <c r="H126" s="122">
        <f t="shared" si="11"/>
        <v>3408.9971855022013</v>
      </c>
      <c r="I126" s="122"/>
      <c r="J126" s="122">
        <f t="shared" si="12"/>
        <v>14421.481959766643</v>
      </c>
      <c r="K126" s="122">
        <f t="shared" si="13"/>
        <v>2159813.2967794794</v>
      </c>
    </row>
    <row r="127" spans="1:11" x14ac:dyDescent="0.25">
      <c r="A127" s="122"/>
      <c r="B127" s="308">
        <f t="shared" si="7"/>
        <v>10</v>
      </c>
      <c r="C127" s="98">
        <f t="shared" si="8"/>
        <v>113</v>
      </c>
      <c r="D127" s="122">
        <f t="shared" si="9"/>
        <v>2159813.2967794794</v>
      </c>
      <c r="F127" s="122">
        <f t="shared" si="10"/>
        <v>17830.479145268844</v>
      </c>
      <c r="G127" s="122"/>
      <c r="H127" s="122">
        <f t="shared" si="11"/>
        <v>3431.7238334054127</v>
      </c>
      <c r="I127" s="122"/>
      <c r="J127" s="122">
        <f t="shared" si="12"/>
        <v>14398.755311863431</v>
      </c>
      <c r="K127" s="122">
        <f t="shared" si="13"/>
        <v>2156381.572946074</v>
      </c>
    </row>
    <row r="128" spans="1:11" x14ac:dyDescent="0.25">
      <c r="A128" s="122"/>
      <c r="B128" s="308">
        <f t="shared" si="7"/>
        <v>10</v>
      </c>
      <c r="C128" s="98">
        <f t="shared" si="8"/>
        <v>114</v>
      </c>
      <c r="D128" s="122">
        <f t="shared" si="9"/>
        <v>2156381.572946074</v>
      </c>
      <c r="F128" s="122">
        <f t="shared" si="10"/>
        <v>17830.479145268844</v>
      </c>
      <c r="G128" s="122"/>
      <c r="H128" s="122">
        <f t="shared" si="11"/>
        <v>3454.601992294658</v>
      </c>
      <c r="I128" s="122"/>
      <c r="J128" s="122">
        <f t="shared" si="12"/>
        <v>14375.877152974186</v>
      </c>
      <c r="K128" s="122">
        <f t="shared" si="13"/>
        <v>2152926.9709537793</v>
      </c>
    </row>
    <row r="129" spans="1:11" x14ac:dyDescent="0.25">
      <c r="A129" s="122"/>
      <c r="B129" s="308">
        <f t="shared" si="7"/>
        <v>10</v>
      </c>
      <c r="C129" s="98">
        <f t="shared" si="8"/>
        <v>115</v>
      </c>
      <c r="D129" s="122">
        <f t="shared" si="9"/>
        <v>2152926.9709537793</v>
      </c>
      <c r="F129" s="122">
        <f t="shared" si="10"/>
        <v>17830.479145268844</v>
      </c>
      <c r="G129" s="122"/>
      <c r="H129" s="122">
        <f t="shared" si="11"/>
        <v>3477.6326722432859</v>
      </c>
      <c r="I129" s="122"/>
      <c r="J129" s="122">
        <f t="shared" si="12"/>
        <v>14352.846473025558</v>
      </c>
      <c r="K129" s="122">
        <f t="shared" si="13"/>
        <v>2149449.338281536</v>
      </c>
    </row>
    <row r="130" spans="1:11" x14ac:dyDescent="0.25">
      <c r="A130" s="122"/>
      <c r="B130" s="308">
        <f t="shared" si="7"/>
        <v>10</v>
      </c>
      <c r="C130" s="98">
        <f t="shared" si="8"/>
        <v>116</v>
      </c>
      <c r="D130" s="122">
        <f t="shared" si="9"/>
        <v>2149449.338281536</v>
      </c>
      <c r="F130" s="122">
        <f t="shared" si="10"/>
        <v>17830.479145268844</v>
      </c>
      <c r="G130" s="122"/>
      <c r="H130" s="122">
        <f t="shared" si="11"/>
        <v>3500.8168900585733</v>
      </c>
      <c r="I130" s="122"/>
      <c r="J130" s="122">
        <f t="shared" si="12"/>
        <v>14329.662255210271</v>
      </c>
      <c r="K130" s="122">
        <f t="shared" si="13"/>
        <v>2145948.5213914774</v>
      </c>
    </row>
    <row r="131" spans="1:11" x14ac:dyDescent="0.25">
      <c r="A131" s="122"/>
      <c r="B131" s="308">
        <f t="shared" si="7"/>
        <v>10</v>
      </c>
      <c r="C131" s="98">
        <f t="shared" si="8"/>
        <v>117</v>
      </c>
      <c r="D131" s="122">
        <f t="shared" si="9"/>
        <v>2145948.5213914774</v>
      </c>
      <c r="F131" s="122">
        <f t="shared" si="10"/>
        <v>17830.479145268844</v>
      </c>
      <c r="G131" s="122"/>
      <c r="H131" s="122">
        <f t="shared" si="11"/>
        <v>3524.155669325497</v>
      </c>
      <c r="I131" s="122"/>
      <c r="J131" s="122">
        <f t="shared" si="12"/>
        <v>14306.323475943347</v>
      </c>
      <c r="K131" s="122">
        <f t="shared" si="13"/>
        <v>2142424.3657221519</v>
      </c>
    </row>
    <row r="132" spans="1:11" x14ac:dyDescent="0.25">
      <c r="A132" s="122"/>
      <c r="B132" s="308">
        <f t="shared" si="7"/>
        <v>10</v>
      </c>
      <c r="C132" s="98">
        <f t="shared" si="8"/>
        <v>118</v>
      </c>
      <c r="D132" s="122">
        <f t="shared" si="9"/>
        <v>2142424.3657221519</v>
      </c>
      <c r="F132" s="122">
        <f t="shared" si="10"/>
        <v>17830.479145268844</v>
      </c>
      <c r="G132" s="122"/>
      <c r="H132" s="122">
        <f t="shared" si="11"/>
        <v>3547.6500404542312</v>
      </c>
      <c r="I132" s="122"/>
      <c r="J132" s="122">
        <f t="shared" si="12"/>
        <v>14282.829104814613</v>
      </c>
      <c r="K132" s="122">
        <f t="shared" si="13"/>
        <v>2138876.7156816977</v>
      </c>
    </row>
    <row r="133" spans="1:11" x14ac:dyDescent="0.25">
      <c r="A133" s="122"/>
      <c r="B133" s="308">
        <f t="shared" si="7"/>
        <v>10</v>
      </c>
      <c r="C133" s="98">
        <f t="shared" si="8"/>
        <v>119</v>
      </c>
      <c r="D133" s="122">
        <f t="shared" si="9"/>
        <v>2138876.7156816977</v>
      </c>
      <c r="F133" s="122">
        <f t="shared" si="10"/>
        <v>17830.479145268844</v>
      </c>
      <c r="G133" s="122"/>
      <c r="H133" s="122">
        <f t="shared" si="11"/>
        <v>3571.3010407239199</v>
      </c>
      <c r="I133" s="122"/>
      <c r="J133" s="122">
        <f t="shared" si="12"/>
        <v>14259.178104544924</v>
      </c>
      <c r="K133" s="122">
        <f t="shared" si="13"/>
        <v>2135305.4146409738</v>
      </c>
    </row>
    <row r="134" spans="1:11" x14ac:dyDescent="0.25">
      <c r="A134" s="122"/>
      <c r="B134" s="308">
        <f t="shared" si="7"/>
        <v>10</v>
      </c>
      <c r="C134" s="98">
        <f t="shared" si="8"/>
        <v>120</v>
      </c>
      <c r="D134" s="122">
        <f t="shared" si="9"/>
        <v>2135305.4146409738</v>
      </c>
      <c r="F134" s="122">
        <f t="shared" si="10"/>
        <v>17830.479145268844</v>
      </c>
      <c r="G134" s="122"/>
      <c r="H134" s="122">
        <f t="shared" si="11"/>
        <v>3595.109714328777</v>
      </c>
      <c r="I134" s="122"/>
      <c r="J134" s="122">
        <f t="shared" si="12"/>
        <v>14235.369430940067</v>
      </c>
      <c r="K134" s="122">
        <f t="shared" si="13"/>
        <v>2131710.304926645</v>
      </c>
    </row>
    <row r="135" spans="1:11" x14ac:dyDescent="0.25">
      <c r="A135" s="122"/>
      <c r="B135" s="308">
        <f t="shared" si="7"/>
        <v>11</v>
      </c>
      <c r="C135" s="98">
        <f t="shared" si="8"/>
        <v>121</v>
      </c>
      <c r="D135" s="122">
        <f t="shared" si="9"/>
        <v>2131710.304926645</v>
      </c>
      <c r="F135" s="122">
        <f t="shared" si="10"/>
        <v>17830.479145268844</v>
      </c>
      <c r="G135" s="122"/>
      <c r="H135" s="122">
        <f t="shared" si="11"/>
        <v>3619.0771124241874</v>
      </c>
      <c r="I135" s="122"/>
      <c r="J135" s="122">
        <f t="shared" si="12"/>
        <v>14211.402032844657</v>
      </c>
      <c r="K135" s="122">
        <f t="shared" si="13"/>
        <v>2128091.2278142208</v>
      </c>
    </row>
    <row r="136" spans="1:11" x14ac:dyDescent="0.25">
      <c r="A136" s="122"/>
      <c r="B136" s="308">
        <f t="shared" si="7"/>
        <v>11</v>
      </c>
      <c r="C136" s="98">
        <f t="shared" si="8"/>
        <v>122</v>
      </c>
      <c r="D136" s="122">
        <f t="shared" si="9"/>
        <v>2128091.2278142208</v>
      </c>
      <c r="F136" s="122">
        <f t="shared" si="10"/>
        <v>17830.479145268844</v>
      </c>
      <c r="G136" s="122"/>
      <c r="H136" s="122">
        <f t="shared" si="11"/>
        <v>3643.2042931737378</v>
      </c>
      <c r="I136" s="122"/>
      <c r="J136" s="122">
        <f t="shared" si="12"/>
        <v>14187.274852095106</v>
      </c>
      <c r="K136" s="122">
        <f t="shared" si="13"/>
        <v>2124448.0235210471</v>
      </c>
    </row>
    <row r="137" spans="1:11" x14ac:dyDescent="0.25">
      <c r="A137" s="122"/>
      <c r="B137" s="308">
        <f t="shared" si="7"/>
        <v>11</v>
      </c>
      <c r="C137" s="98">
        <f t="shared" si="8"/>
        <v>123</v>
      </c>
      <c r="D137" s="122">
        <f t="shared" si="9"/>
        <v>2124448.0235210471</v>
      </c>
      <c r="F137" s="122">
        <f t="shared" si="10"/>
        <v>17830.479145268844</v>
      </c>
      <c r="G137" s="122"/>
      <c r="H137" s="122">
        <f t="shared" si="11"/>
        <v>3667.4923217948526</v>
      </c>
      <c r="I137" s="122"/>
      <c r="J137" s="122">
        <f t="shared" si="12"/>
        <v>14162.986823473992</v>
      </c>
      <c r="K137" s="122">
        <f t="shared" si="13"/>
        <v>2120780.5311992522</v>
      </c>
    </row>
    <row r="138" spans="1:11" x14ac:dyDescent="0.25">
      <c r="A138" s="122"/>
      <c r="B138" s="308">
        <f t="shared" si="7"/>
        <v>11</v>
      </c>
      <c r="C138" s="98">
        <f t="shared" si="8"/>
        <v>124</v>
      </c>
      <c r="D138" s="122">
        <f t="shared" si="9"/>
        <v>2120780.5311992522</v>
      </c>
      <c r="F138" s="122">
        <f t="shared" si="10"/>
        <v>17830.479145268844</v>
      </c>
      <c r="G138" s="122"/>
      <c r="H138" s="122">
        <f t="shared" si="11"/>
        <v>3691.9422706067562</v>
      </c>
      <c r="I138" s="122"/>
      <c r="J138" s="122">
        <f t="shared" si="12"/>
        <v>14138.536874662088</v>
      </c>
      <c r="K138" s="122">
        <f t="shared" si="13"/>
        <v>2117088.5889286455</v>
      </c>
    </row>
    <row r="139" spans="1:11" x14ac:dyDescent="0.25">
      <c r="A139" s="122"/>
      <c r="B139" s="308">
        <f t="shared" si="7"/>
        <v>11</v>
      </c>
      <c r="C139" s="98">
        <f t="shared" si="8"/>
        <v>125</v>
      </c>
      <c r="D139" s="122">
        <f t="shared" si="9"/>
        <v>2117088.5889286455</v>
      </c>
      <c r="F139" s="122">
        <f t="shared" si="10"/>
        <v>17830.479145268844</v>
      </c>
      <c r="G139" s="122"/>
      <c r="H139" s="122">
        <f t="shared" si="11"/>
        <v>3716.5552190775052</v>
      </c>
      <c r="I139" s="122"/>
      <c r="J139" s="122">
        <f t="shared" si="12"/>
        <v>14113.923926191339</v>
      </c>
      <c r="K139" s="122">
        <f t="shared" si="13"/>
        <v>2113372.033709568</v>
      </c>
    </row>
    <row r="140" spans="1:11" x14ac:dyDescent="0.25">
      <c r="A140" s="122"/>
      <c r="B140" s="308">
        <f t="shared" si="7"/>
        <v>11</v>
      </c>
      <c r="C140" s="98">
        <f t="shared" si="8"/>
        <v>126</v>
      </c>
      <c r="D140" s="122">
        <f t="shared" si="9"/>
        <v>2113372.033709568</v>
      </c>
      <c r="F140" s="122">
        <f t="shared" si="10"/>
        <v>17830.479145268844</v>
      </c>
      <c r="G140" s="122"/>
      <c r="H140" s="122">
        <f t="shared" si="11"/>
        <v>3741.3322538714856</v>
      </c>
      <c r="I140" s="122"/>
      <c r="J140" s="122">
        <f t="shared" si="12"/>
        <v>14089.146891397359</v>
      </c>
      <c r="K140" s="122">
        <f t="shared" si="13"/>
        <v>2109630.7014556965</v>
      </c>
    </row>
    <row r="141" spans="1:11" x14ac:dyDescent="0.25">
      <c r="A141" s="122"/>
      <c r="B141" s="308">
        <f t="shared" si="7"/>
        <v>11</v>
      </c>
      <c r="C141" s="98">
        <f t="shared" si="8"/>
        <v>127</v>
      </c>
      <c r="D141" s="122">
        <f t="shared" si="9"/>
        <v>2109630.7014556965</v>
      </c>
      <c r="F141" s="122">
        <f t="shared" si="10"/>
        <v>17830.479145268844</v>
      </c>
      <c r="G141" s="122"/>
      <c r="H141" s="122">
        <f t="shared" si="11"/>
        <v>3766.2744688973762</v>
      </c>
      <c r="I141" s="122"/>
      <c r="J141" s="122">
        <f t="shared" si="12"/>
        <v>14064.204676371468</v>
      </c>
      <c r="K141" s="122">
        <f t="shared" si="13"/>
        <v>2105864.4269867991</v>
      </c>
    </row>
    <row r="142" spans="1:11" x14ac:dyDescent="0.25">
      <c r="A142" s="122"/>
      <c r="B142" s="308">
        <f t="shared" si="7"/>
        <v>11</v>
      </c>
      <c r="C142" s="98">
        <f t="shared" si="8"/>
        <v>128</v>
      </c>
      <c r="D142" s="122">
        <f t="shared" si="9"/>
        <v>2105864.4269867991</v>
      </c>
      <c r="F142" s="122">
        <f t="shared" si="10"/>
        <v>17830.479145268844</v>
      </c>
      <c r="G142" s="122"/>
      <c r="H142" s="122">
        <f t="shared" si="11"/>
        <v>3791.3829653565772</v>
      </c>
      <c r="I142" s="122"/>
      <c r="J142" s="122">
        <f t="shared" si="12"/>
        <v>14039.096179912267</v>
      </c>
      <c r="K142" s="122">
        <f t="shared" si="13"/>
        <v>2102073.0440214425</v>
      </c>
    </row>
    <row r="143" spans="1:11" x14ac:dyDescent="0.25">
      <c r="A143" s="122"/>
      <c r="B143" s="308">
        <f t="shared" si="7"/>
        <v>11</v>
      </c>
      <c r="C143" s="98">
        <f t="shared" si="8"/>
        <v>129</v>
      </c>
      <c r="D143" s="122">
        <f t="shared" si="9"/>
        <v>2102073.0440214425</v>
      </c>
      <c r="F143" s="122">
        <f t="shared" si="10"/>
        <v>17830.479145268844</v>
      </c>
      <c r="G143" s="122"/>
      <c r="H143" s="122">
        <f t="shared" si="11"/>
        <v>3816.6588517921045</v>
      </c>
      <c r="I143" s="122"/>
      <c r="J143" s="122">
        <f t="shared" si="12"/>
        <v>14013.82029347674</v>
      </c>
      <c r="K143" s="122">
        <f t="shared" si="13"/>
        <v>2098256.3851696504</v>
      </c>
    </row>
    <row r="144" spans="1:11" x14ac:dyDescent="0.25">
      <c r="A144" s="122"/>
      <c r="B144" s="308">
        <f t="shared" ref="B144:B207" si="14">ROUNDUP(C144/12,0)</f>
        <v>11</v>
      </c>
      <c r="C144" s="98">
        <f t="shared" ref="C144:C207" si="15">C143+1</f>
        <v>130</v>
      </c>
      <c r="D144" s="122">
        <f t="shared" ref="D144:D207" si="16">IF(C144&gt;$H$8+$M$7,0,K143)</f>
        <v>2098256.3851696504</v>
      </c>
      <c r="F144" s="122">
        <f t="shared" ref="F144:F207" si="17">-IF(AND($M$6&gt;0,C144&lt;=$M$7),-$F$10*$F$6,PMT($F$10,$H$8,$F$6,,0))*IF(C144&gt;$H$8+$M$7,0,1)</f>
        <v>17830.479145268844</v>
      </c>
      <c r="G144" s="122"/>
      <c r="H144" s="122">
        <f t="shared" ref="H144:H207" si="18">IF(AND($M$6&gt;0,C144&lt;=$M$7),0,D144-K144)</f>
        <v>3842.1032441377174</v>
      </c>
      <c r="I144" s="122"/>
      <c r="J144" s="122">
        <f t="shared" ref="J144:J207" si="19">F144-H144</f>
        <v>13988.375901131127</v>
      </c>
      <c r="K144" s="122">
        <f t="shared" ref="K144:K207" si="20">-FV($F$10,1,-F144,D144)</f>
        <v>2094414.2819255127</v>
      </c>
    </row>
    <row r="145" spans="1:11" x14ac:dyDescent="0.25">
      <c r="A145" s="122"/>
      <c r="B145" s="308">
        <f t="shared" si="14"/>
        <v>11</v>
      </c>
      <c r="C145" s="98">
        <f t="shared" si="15"/>
        <v>131</v>
      </c>
      <c r="D145" s="122">
        <f t="shared" si="16"/>
        <v>2094414.2819255127</v>
      </c>
      <c r="F145" s="122">
        <f t="shared" si="17"/>
        <v>17830.479145268844</v>
      </c>
      <c r="G145" s="122"/>
      <c r="H145" s="122">
        <f t="shared" si="18"/>
        <v>3867.7172657651827</v>
      </c>
      <c r="I145" s="122"/>
      <c r="J145" s="122">
        <f t="shared" si="19"/>
        <v>13962.761879503661</v>
      </c>
      <c r="K145" s="122">
        <f t="shared" si="20"/>
        <v>2090546.5646597475</v>
      </c>
    </row>
    <row r="146" spans="1:11" x14ac:dyDescent="0.25">
      <c r="A146" s="122"/>
      <c r="B146" s="308">
        <f t="shared" si="14"/>
        <v>11</v>
      </c>
      <c r="C146" s="98">
        <f t="shared" si="15"/>
        <v>132</v>
      </c>
      <c r="D146" s="122">
        <f t="shared" si="16"/>
        <v>2090546.5646597475</v>
      </c>
      <c r="F146" s="122">
        <f t="shared" si="17"/>
        <v>17830.479145268844</v>
      </c>
      <c r="G146" s="122"/>
      <c r="H146" s="122">
        <f t="shared" si="18"/>
        <v>3893.5020475373603</v>
      </c>
      <c r="I146" s="122"/>
      <c r="J146" s="122">
        <f t="shared" si="19"/>
        <v>13936.977097731484</v>
      </c>
      <c r="K146" s="122">
        <f t="shared" si="20"/>
        <v>2086653.0626122102</v>
      </c>
    </row>
    <row r="147" spans="1:11" x14ac:dyDescent="0.25">
      <c r="A147" s="122"/>
      <c r="B147" s="308">
        <f t="shared" si="14"/>
        <v>12</v>
      </c>
      <c r="C147" s="98">
        <f t="shared" si="15"/>
        <v>133</v>
      </c>
      <c r="D147" s="122">
        <f t="shared" si="16"/>
        <v>2086653.0626122102</v>
      </c>
      <c r="F147" s="122">
        <f t="shared" si="17"/>
        <v>17830.479145268844</v>
      </c>
      <c r="G147" s="122"/>
      <c r="H147" s="122">
        <f t="shared" si="18"/>
        <v>3919.458727854304</v>
      </c>
      <c r="I147" s="122"/>
      <c r="J147" s="122">
        <f t="shared" si="19"/>
        <v>13911.02041741454</v>
      </c>
      <c r="K147" s="122">
        <f t="shared" si="20"/>
        <v>2082733.6038843559</v>
      </c>
    </row>
    <row r="148" spans="1:11" x14ac:dyDescent="0.25">
      <c r="A148" s="122"/>
      <c r="B148" s="308">
        <f t="shared" si="14"/>
        <v>12</v>
      </c>
      <c r="C148" s="98">
        <f t="shared" si="15"/>
        <v>134</v>
      </c>
      <c r="D148" s="122">
        <f t="shared" si="16"/>
        <v>2082733.6038843559</v>
      </c>
      <c r="F148" s="122">
        <f t="shared" si="17"/>
        <v>17830.479145268844</v>
      </c>
      <c r="G148" s="122"/>
      <c r="H148" s="122">
        <f t="shared" si="18"/>
        <v>3945.5884527063463</v>
      </c>
      <c r="I148" s="122"/>
      <c r="J148" s="122">
        <f t="shared" si="19"/>
        <v>13884.890692562498</v>
      </c>
      <c r="K148" s="122">
        <f t="shared" si="20"/>
        <v>2078788.0154316495</v>
      </c>
    </row>
    <row r="149" spans="1:11" x14ac:dyDescent="0.25">
      <c r="A149" s="122"/>
      <c r="B149" s="308">
        <f t="shared" si="14"/>
        <v>12</v>
      </c>
      <c r="C149" s="98">
        <f t="shared" si="15"/>
        <v>135</v>
      </c>
      <c r="D149" s="122">
        <f t="shared" si="16"/>
        <v>2078788.0154316495</v>
      </c>
      <c r="F149" s="122">
        <f t="shared" si="17"/>
        <v>17830.479145268844</v>
      </c>
      <c r="G149" s="122"/>
      <c r="H149" s="122">
        <f t="shared" si="18"/>
        <v>3971.8923757243901</v>
      </c>
      <c r="I149" s="122"/>
      <c r="J149" s="122">
        <f t="shared" si="19"/>
        <v>13858.586769544454</v>
      </c>
      <c r="K149" s="122">
        <f t="shared" si="20"/>
        <v>2074816.1230559251</v>
      </c>
    </row>
    <row r="150" spans="1:11" x14ac:dyDescent="0.25">
      <c r="A150" s="122"/>
      <c r="B150" s="308">
        <f t="shared" si="14"/>
        <v>12</v>
      </c>
      <c r="C150" s="98">
        <f t="shared" si="15"/>
        <v>136</v>
      </c>
      <c r="D150" s="122">
        <f t="shared" si="16"/>
        <v>2074816.1230559251</v>
      </c>
      <c r="F150" s="122">
        <f t="shared" si="17"/>
        <v>17830.479145268844</v>
      </c>
      <c r="G150" s="122"/>
      <c r="H150" s="122">
        <f t="shared" si="18"/>
        <v>3998.3716582292691</v>
      </c>
      <c r="I150" s="122"/>
      <c r="J150" s="122">
        <f t="shared" si="19"/>
        <v>13832.107487039575</v>
      </c>
      <c r="K150" s="122">
        <f t="shared" si="20"/>
        <v>2070817.7513976959</v>
      </c>
    </row>
    <row r="151" spans="1:11" x14ac:dyDescent="0.25">
      <c r="A151" s="122"/>
      <c r="B151" s="308">
        <f t="shared" si="14"/>
        <v>12</v>
      </c>
      <c r="C151" s="98">
        <f t="shared" si="15"/>
        <v>137</v>
      </c>
      <c r="D151" s="122">
        <f t="shared" si="16"/>
        <v>2070817.7513976959</v>
      </c>
      <c r="F151" s="122">
        <f t="shared" si="17"/>
        <v>17830.479145268844</v>
      </c>
      <c r="G151" s="122"/>
      <c r="H151" s="122">
        <f t="shared" si="18"/>
        <v>4025.027469284134</v>
      </c>
      <c r="I151" s="122"/>
      <c r="J151" s="122">
        <f t="shared" si="19"/>
        <v>13805.45167598471</v>
      </c>
      <c r="K151" s="122">
        <f t="shared" si="20"/>
        <v>2066792.7239284117</v>
      </c>
    </row>
    <row r="152" spans="1:11" x14ac:dyDescent="0.25">
      <c r="A152" s="122"/>
      <c r="B152" s="308">
        <f t="shared" si="14"/>
        <v>12</v>
      </c>
      <c r="C152" s="98">
        <f t="shared" si="15"/>
        <v>138</v>
      </c>
      <c r="D152" s="122">
        <f t="shared" si="16"/>
        <v>2066792.7239284117</v>
      </c>
      <c r="F152" s="122">
        <f t="shared" si="17"/>
        <v>17830.479145268844</v>
      </c>
      <c r="G152" s="122"/>
      <c r="H152" s="122">
        <f t="shared" si="18"/>
        <v>4051.8609857461415</v>
      </c>
      <c r="I152" s="122"/>
      <c r="J152" s="122">
        <f t="shared" si="19"/>
        <v>13778.618159522703</v>
      </c>
      <c r="K152" s="122">
        <f t="shared" si="20"/>
        <v>2062740.8629426656</v>
      </c>
    </row>
    <row r="153" spans="1:11" x14ac:dyDescent="0.25">
      <c r="A153" s="122"/>
      <c r="B153" s="308">
        <f t="shared" si="14"/>
        <v>12</v>
      </c>
      <c r="C153" s="98">
        <f t="shared" si="15"/>
        <v>139</v>
      </c>
      <c r="D153" s="122">
        <f t="shared" si="16"/>
        <v>2062740.8629426656</v>
      </c>
      <c r="F153" s="122">
        <f t="shared" si="17"/>
        <v>17830.479145268844</v>
      </c>
      <c r="G153" s="122"/>
      <c r="H153" s="122">
        <f t="shared" si="18"/>
        <v>4078.8733923176769</v>
      </c>
      <c r="I153" s="122"/>
      <c r="J153" s="122">
        <f t="shared" si="19"/>
        <v>13751.605752951167</v>
      </c>
      <c r="K153" s="122">
        <f t="shared" si="20"/>
        <v>2058661.9895503479</v>
      </c>
    </row>
    <row r="154" spans="1:11" x14ac:dyDescent="0.25">
      <c r="A154" s="122"/>
      <c r="B154" s="308">
        <f t="shared" si="14"/>
        <v>12</v>
      </c>
      <c r="C154" s="98">
        <f t="shared" si="15"/>
        <v>140</v>
      </c>
      <c r="D154" s="122">
        <f t="shared" si="16"/>
        <v>2058661.9895503479</v>
      </c>
      <c r="F154" s="122">
        <f t="shared" si="17"/>
        <v>17830.479145268844</v>
      </c>
      <c r="G154" s="122"/>
      <c r="H154" s="122">
        <f t="shared" si="18"/>
        <v>4106.065881599905</v>
      </c>
      <c r="I154" s="122"/>
      <c r="J154" s="122">
        <f t="shared" si="19"/>
        <v>13724.413263668939</v>
      </c>
      <c r="K154" s="122">
        <f t="shared" si="20"/>
        <v>2054555.923668748</v>
      </c>
    </row>
    <row r="155" spans="1:11" x14ac:dyDescent="0.25">
      <c r="A155" s="122"/>
      <c r="B155" s="308">
        <f t="shared" si="14"/>
        <v>12</v>
      </c>
      <c r="C155" s="98">
        <f t="shared" si="15"/>
        <v>141</v>
      </c>
      <c r="D155" s="122">
        <f t="shared" si="16"/>
        <v>2054555.923668748</v>
      </c>
      <c r="F155" s="122">
        <f t="shared" si="17"/>
        <v>17830.479145268844</v>
      </c>
      <c r="G155" s="122"/>
      <c r="H155" s="122">
        <f t="shared" si="18"/>
        <v>4133.43965414376</v>
      </c>
      <c r="I155" s="122"/>
      <c r="J155" s="122">
        <f t="shared" si="19"/>
        <v>13697.039491125084</v>
      </c>
      <c r="K155" s="122">
        <f t="shared" si="20"/>
        <v>2050422.4840146042</v>
      </c>
    </row>
    <row r="156" spans="1:11" x14ac:dyDescent="0.25">
      <c r="A156" s="122"/>
      <c r="B156" s="308">
        <f t="shared" si="14"/>
        <v>12</v>
      </c>
      <c r="C156" s="98">
        <f t="shared" si="15"/>
        <v>142</v>
      </c>
      <c r="D156" s="122">
        <f t="shared" si="16"/>
        <v>2050422.4840146042</v>
      </c>
      <c r="F156" s="122">
        <f t="shared" si="17"/>
        <v>17830.479145268844</v>
      </c>
      <c r="G156" s="122"/>
      <c r="H156" s="122">
        <f t="shared" si="18"/>
        <v>4160.9959185048938</v>
      </c>
      <c r="I156" s="122"/>
      <c r="J156" s="122">
        <f t="shared" si="19"/>
        <v>13669.48322676395</v>
      </c>
      <c r="K156" s="122">
        <f t="shared" si="20"/>
        <v>2046261.4880960993</v>
      </c>
    </row>
    <row r="157" spans="1:11" x14ac:dyDescent="0.25">
      <c r="A157" s="122"/>
      <c r="B157" s="308">
        <f t="shared" si="14"/>
        <v>12</v>
      </c>
      <c r="C157" s="98">
        <f t="shared" si="15"/>
        <v>143</v>
      </c>
      <c r="D157" s="122">
        <f t="shared" si="16"/>
        <v>2046261.4880960993</v>
      </c>
      <c r="F157" s="122">
        <f t="shared" si="17"/>
        <v>17830.479145268844</v>
      </c>
      <c r="G157" s="122"/>
      <c r="H157" s="122">
        <f t="shared" si="18"/>
        <v>4188.7358912948985</v>
      </c>
      <c r="I157" s="122"/>
      <c r="J157" s="122">
        <f t="shared" si="19"/>
        <v>13641.743253973946</v>
      </c>
      <c r="K157" s="122">
        <f t="shared" si="20"/>
        <v>2042072.7522048044</v>
      </c>
    </row>
    <row r="158" spans="1:11" x14ac:dyDescent="0.25">
      <c r="A158" s="122"/>
      <c r="B158" s="308">
        <f t="shared" si="14"/>
        <v>12</v>
      </c>
      <c r="C158" s="98">
        <f t="shared" si="15"/>
        <v>144</v>
      </c>
      <c r="D158" s="122">
        <f t="shared" si="16"/>
        <v>2042072.7522048044</v>
      </c>
      <c r="F158" s="122">
        <f t="shared" si="17"/>
        <v>17830.479145268844</v>
      </c>
      <c r="G158" s="122"/>
      <c r="H158" s="122">
        <f t="shared" si="18"/>
        <v>4216.6607972367201</v>
      </c>
      <c r="I158" s="122"/>
      <c r="J158" s="122">
        <f t="shared" si="19"/>
        <v>13613.818348032124</v>
      </c>
      <c r="K158" s="122">
        <f t="shared" si="20"/>
        <v>2037856.0914075677</v>
      </c>
    </row>
    <row r="159" spans="1:11" x14ac:dyDescent="0.25">
      <c r="A159" s="122"/>
      <c r="B159" s="308">
        <f t="shared" si="14"/>
        <v>13</v>
      </c>
      <c r="C159" s="98">
        <f t="shared" si="15"/>
        <v>145</v>
      </c>
      <c r="D159" s="122">
        <f t="shared" si="16"/>
        <v>2037856.0914075677</v>
      </c>
      <c r="F159" s="122">
        <f t="shared" si="17"/>
        <v>17830.479145268844</v>
      </c>
      <c r="G159" s="122"/>
      <c r="H159" s="122">
        <f t="shared" si="18"/>
        <v>4244.7718692184426</v>
      </c>
      <c r="I159" s="122"/>
      <c r="J159" s="122">
        <f t="shared" si="19"/>
        <v>13585.707276050402</v>
      </c>
      <c r="K159" s="122">
        <f t="shared" si="20"/>
        <v>2033611.3195383493</v>
      </c>
    </row>
    <row r="160" spans="1:11" x14ac:dyDescent="0.25">
      <c r="A160" s="122"/>
      <c r="B160" s="308">
        <f t="shared" si="14"/>
        <v>13</v>
      </c>
      <c r="C160" s="98">
        <f t="shared" si="15"/>
        <v>146</v>
      </c>
      <c r="D160" s="122">
        <f t="shared" si="16"/>
        <v>2033611.3195383493</v>
      </c>
      <c r="F160" s="122">
        <f t="shared" si="17"/>
        <v>17830.479145268844</v>
      </c>
      <c r="G160" s="122"/>
      <c r="H160" s="122">
        <f t="shared" si="18"/>
        <v>4273.0703483463731</v>
      </c>
      <c r="I160" s="122"/>
      <c r="J160" s="122">
        <f t="shared" si="19"/>
        <v>13557.408796922471</v>
      </c>
      <c r="K160" s="122">
        <f t="shared" si="20"/>
        <v>2029338.2491900029</v>
      </c>
    </row>
    <row r="161" spans="1:11" x14ac:dyDescent="0.25">
      <c r="A161" s="122"/>
      <c r="B161" s="308">
        <f t="shared" si="14"/>
        <v>13</v>
      </c>
      <c r="C161" s="98">
        <f t="shared" si="15"/>
        <v>147</v>
      </c>
      <c r="D161" s="122">
        <f t="shared" si="16"/>
        <v>2029338.2491900029</v>
      </c>
      <c r="F161" s="122">
        <f t="shared" si="17"/>
        <v>17830.479145268844</v>
      </c>
      <c r="G161" s="122"/>
      <c r="H161" s="122">
        <f t="shared" si="18"/>
        <v>4301.5574840020854</v>
      </c>
      <c r="I161" s="122"/>
      <c r="J161" s="122">
        <f t="shared" si="19"/>
        <v>13528.921661266759</v>
      </c>
      <c r="K161" s="122">
        <f t="shared" si="20"/>
        <v>2025036.6917060008</v>
      </c>
    </row>
    <row r="162" spans="1:11" x14ac:dyDescent="0.25">
      <c r="A162" s="122"/>
      <c r="B162" s="308">
        <f t="shared" si="14"/>
        <v>13</v>
      </c>
      <c r="C162" s="98">
        <f t="shared" si="15"/>
        <v>148</v>
      </c>
      <c r="D162" s="122">
        <f t="shared" si="16"/>
        <v>2025036.6917060008</v>
      </c>
      <c r="F162" s="122">
        <f t="shared" si="17"/>
        <v>17830.479145268844</v>
      </c>
      <c r="G162" s="122"/>
      <c r="H162" s="122">
        <f t="shared" si="18"/>
        <v>4330.2345338955056</v>
      </c>
      <c r="I162" s="122"/>
      <c r="J162" s="122">
        <f t="shared" si="19"/>
        <v>13500.244611373339</v>
      </c>
      <c r="K162" s="122">
        <f t="shared" si="20"/>
        <v>2020706.4571721053</v>
      </c>
    </row>
    <row r="163" spans="1:11" x14ac:dyDescent="0.25">
      <c r="A163" s="122"/>
      <c r="B163" s="308">
        <f t="shared" si="14"/>
        <v>13</v>
      </c>
      <c r="C163" s="98">
        <f t="shared" si="15"/>
        <v>149</v>
      </c>
      <c r="D163" s="122">
        <f t="shared" si="16"/>
        <v>2020706.4571721053</v>
      </c>
      <c r="F163" s="122">
        <f t="shared" si="17"/>
        <v>17830.479145268844</v>
      </c>
      <c r="G163" s="122"/>
      <c r="H163" s="122">
        <f t="shared" si="18"/>
        <v>4359.1027641214896</v>
      </c>
      <c r="I163" s="122"/>
      <c r="J163" s="122">
        <f t="shared" si="19"/>
        <v>13471.376381147355</v>
      </c>
      <c r="K163" s="122">
        <f t="shared" si="20"/>
        <v>2016347.3544079838</v>
      </c>
    </row>
    <row r="164" spans="1:11" x14ac:dyDescent="0.25">
      <c r="A164" s="122"/>
      <c r="B164" s="308">
        <f t="shared" si="14"/>
        <v>13</v>
      </c>
      <c r="C164" s="98">
        <f t="shared" si="15"/>
        <v>150</v>
      </c>
      <c r="D164" s="122">
        <f t="shared" si="16"/>
        <v>2016347.3544079838</v>
      </c>
      <c r="F164" s="122">
        <f t="shared" si="17"/>
        <v>17830.479145268844</v>
      </c>
      <c r="G164" s="122"/>
      <c r="H164" s="122">
        <f t="shared" si="18"/>
        <v>4388.1634492157027</v>
      </c>
      <c r="I164" s="122"/>
      <c r="J164" s="122">
        <f t="shared" si="19"/>
        <v>13442.315696053141</v>
      </c>
      <c r="K164" s="122">
        <f t="shared" si="20"/>
        <v>2011959.1909587681</v>
      </c>
    </row>
    <row r="165" spans="1:11" x14ac:dyDescent="0.25">
      <c r="A165" s="122"/>
      <c r="B165" s="308">
        <f t="shared" si="14"/>
        <v>13</v>
      </c>
      <c r="C165" s="98">
        <f t="shared" si="15"/>
        <v>151</v>
      </c>
      <c r="D165" s="122">
        <f t="shared" si="16"/>
        <v>2011959.1909587681</v>
      </c>
      <c r="F165" s="122">
        <f t="shared" si="17"/>
        <v>17830.479145268844</v>
      </c>
      <c r="G165" s="122"/>
      <c r="H165" s="122">
        <f t="shared" si="18"/>
        <v>4417.4178722102661</v>
      </c>
      <c r="I165" s="122"/>
      <c r="J165" s="122">
        <f t="shared" si="19"/>
        <v>13413.061273058578</v>
      </c>
      <c r="K165" s="122">
        <f t="shared" si="20"/>
        <v>2007541.7730865579</v>
      </c>
    </row>
    <row r="166" spans="1:11" x14ac:dyDescent="0.25">
      <c r="A166" s="122"/>
      <c r="B166" s="308">
        <f t="shared" si="14"/>
        <v>13</v>
      </c>
      <c r="C166" s="98">
        <f t="shared" si="15"/>
        <v>152</v>
      </c>
      <c r="D166" s="122">
        <f t="shared" si="16"/>
        <v>2007541.7730865579</v>
      </c>
      <c r="F166" s="122">
        <f t="shared" si="17"/>
        <v>17830.479145268844</v>
      </c>
      <c r="G166" s="122"/>
      <c r="H166" s="122">
        <f t="shared" si="18"/>
        <v>4446.8673246917315</v>
      </c>
      <c r="I166" s="122"/>
      <c r="J166" s="122">
        <f t="shared" si="19"/>
        <v>13383.611820577113</v>
      </c>
      <c r="K166" s="122">
        <f t="shared" si="20"/>
        <v>2003094.9057618661</v>
      </c>
    </row>
    <row r="167" spans="1:11" x14ac:dyDescent="0.25">
      <c r="A167" s="122"/>
      <c r="B167" s="308">
        <f t="shared" si="14"/>
        <v>13</v>
      </c>
      <c r="C167" s="98">
        <f t="shared" si="15"/>
        <v>153</v>
      </c>
      <c r="D167" s="122">
        <f t="shared" si="16"/>
        <v>2003094.9057618661</v>
      </c>
      <c r="F167" s="122">
        <f t="shared" si="17"/>
        <v>17830.479145268844</v>
      </c>
      <c r="G167" s="122"/>
      <c r="H167" s="122">
        <f t="shared" si="18"/>
        <v>4476.5131068562623</v>
      </c>
      <c r="I167" s="122"/>
      <c r="J167" s="122">
        <f t="shared" si="19"/>
        <v>13353.966038412582</v>
      </c>
      <c r="K167" s="122">
        <f t="shared" si="20"/>
        <v>1998618.3926550099</v>
      </c>
    </row>
    <row r="168" spans="1:11" x14ac:dyDescent="0.25">
      <c r="A168" s="122"/>
      <c r="B168" s="308">
        <f t="shared" si="14"/>
        <v>13</v>
      </c>
      <c r="C168" s="98">
        <f t="shared" si="15"/>
        <v>154</v>
      </c>
      <c r="D168" s="122">
        <f t="shared" si="16"/>
        <v>1998618.3926550099</v>
      </c>
      <c r="F168" s="122">
        <f t="shared" si="17"/>
        <v>17830.479145268844</v>
      </c>
      <c r="G168" s="122"/>
      <c r="H168" s="122">
        <f t="shared" si="18"/>
        <v>4506.3565275687724</v>
      </c>
      <c r="I168" s="122"/>
      <c r="J168" s="122">
        <f t="shared" si="19"/>
        <v>13324.122617700072</v>
      </c>
      <c r="K168" s="122">
        <f t="shared" si="20"/>
        <v>1994112.0361274411</v>
      </c>
    </row>
    <row r="169" spans="1:11" x14ac:dyDescent="0.25">
      <c r="A169" s="122"/>
      <c r="B169" s="308">
        <f t="shared" si="14"/>
        <v>13</v>
      </c>
      <c r="C169" s="98">
        <f t="shared" si="15"/>
        <v>155</v>
      </c>
      <c r="D169" s="122">
        <f t="shared" si="16"/>
        <v>1994112.0361274411</v>
      </c>
      <c r="F169" s="122">
        <f t="shared" si="17"/>
        <v>17830.479145268844</v>
      </c>
      <c r="G169" s="122"/>
      <c r="H169" s="122">
        <f t="shared" si="18"/>
        <v>4536.3989044192713</v>
      </c>
      <c r="I169" s="122"/>
      <c r="J169" s="122">
        <f t="shared" si="19"/>
        <v>13294.080240849573</v>
      </c>
      <c r="K169" s="122">
        <f t="shared" si="20"/>
        <v>1989575.6372230218</v>
      </c>
    </row>
    <row r="170" spans="1:11" x14ac:dyDescent="0.25">
      <c r="A170" s="122"/>
      <c r="B170" s="308">
        <f t="shared" si="14"/>
        <v>13</v>
      </c>
      <c r="C170" s="98">
        <f t="shared" si="15"/>
        <v>156</v>
      </c>
      <c r="D170" s="122">
        <f t="shared" si="16"/>
        <v>1989575.6372230218</v>
      </c>
      <c r="F170" s="122">
        <f t="shared" si="17"/>
        <v>17830.479145268844</v>
      </c>
      <c r="G170" s="122"/>
      <c r="H170" s="122">
        <f t="shared" si="18"/>
        <v>4566.6415637820028</v>
      </c>
      <c r="I170" s="122"/>
      <c r="J170" s="122">
        <f t="shared" si="19"/>
        <v>13263.837581486841</v>
      </c>
      <c r="K170" s="122">
        <f t="shared" si="20"/>
        <v>1985008.9956592398</v>
      </c>
    </row>
    <row r="171" spans="1:11" x14ac:dyDescent="0.25">
      <c r="A171" s="122"/>
      <c r="B171" s="308">
        <f t="shared" si="14"/>
        <v>14</v>
      </c>
      <c r="C171" s="98">
        <f t="shared" si="15"/>
        <v>157</v>
      </c>
      <c r="D171" s="122">
        <f t="shared" si="16"/>
        <v>1985008.9956592398</v>
      </c>
      <c r="F171" s="122">
        <f t="shared" si="17"/>
        <v>17830.479145268844</v>
      </c>
      <c r="G171" s="122"/>
      <c r="H171" s="122">
        <f t="shared" si="18"/>
        <v>4597.0858408738859</v>
      </c>
      <c r="I171" s="122"/>
      <c r="J171" s="122">
        <f t="shared" si="19"/>
        <v>13233.393304394958</v>
      </c>
      <c r="K171" s="122">
        <f t="shared" si="20"/>
        <v>1980411.9098183659</v>
      </c>
    </row>
    <row r="172" spans="1:11" x14ac:dyDescent="0.25">
      <c r="A172" s="122"/>
      <c r="B172" s="308">
        <f t="shared" si="14"/>
        <v>14</v>
      </c>
      <c r="C172" s="98">
        <f t="shared" si="15"/>
        <v>158</v>
      </c>
      <c r="D172" s="122">
        <f t="shared" si="16"/>
        <v>1980411.9098183659</v>
      </c>
      <c r="F172" s="122">
        <f t="shared" si="17"/>
        <v>17830.479145268844</v>
      </c>
      <c r="G172" s="122"/>
      <c r="H172" s="122">
        <f t="shared" si="18"/>
        <v>4627.7330798129551</v>
      </c>
      <c r="I172" s="122"/>
      <c r="J172" s="122">
        <f t="shared" si="19"/>
        <v>13202.746065455889</v>
      </c>
      <c r="K172" s="122">
        <f t="shared" si="20"/>
        <v>1975784.176738553</v>
      </c>
    </row>
    <row r="173" spans="1:11" x14ac:dyDescent="0.25">
      <c r="A173" s="122"/>
      <c r="B173" s="308">
        <f t="shared" si="14"/>
        <v>14</v>
      </c>
      <c r="C173" s="98">
        <f t="shared" si="15"/>
        <v>159</v>
      </c>
      <c r="D173" s="122">
        <f t="shared" si="16"/>
        <v>1975784.176738553</v>
      </c>
      <c r="F173" s="122">
        <f t="shared" si="17"/>
        <v>17830.479145268844</v>
      </c>
      <c r="G173" s="122"/>
      <c r="H173" s="122">
        <f t="shared" si="18"/>
        <v>4658.5846336784307</v>
      </c>
      <c r="I173" s="122"/>
      <c r="J173" s="122">
        <f t="shared" si="19"/>
        <v>13171.894511590413</v>
      </c>
      <c r="K173" s="122">
        <f t="shared" si="20"/>
        <v>1971125.5921048746</v>
      </c>
    </row>
    <row r="174" spans="1:11" x14ac:dyDescent="0.25">
      <c r="A174" s="122"/>
      <c r="B174" s="308">
        <f t="shared" si="14"/>
        <v>14</v>
      </c>
      <c r="C174" s="98">
        <f t="shared" si="15"/>
        <v>160</v>
      </c>
      <c r="D174" s="122">
        <f t="shared" si="16"/>
        <v>1971125.5921048746</v>
      </c>
      <c r="F174" s="122">
        <f t="shared" si="17"/>
        <v>17830.479145268844</v>
      </c>
      <c r="G174" s="122"/>
      <c r="H174" s="122">
        <f t="shared" si="18"/>
        <v>4689.6418645696249</v>
      </c>
      <c r="I174" s="122"/>
      <c r="J174" s="122">
        <f t="shared" si="19"/>
        <v>13140.837280699219</v>
      </c>
      <c r="K174" s="122">
        <f t="shared" si="20"/>
        <v>1966435.9502403049</v>
      </c>
    </row>
    <row r="175" spans="1:11" x14ac:dyDescent="0.25">
      <c r="A175" s="122"/>
      <c r="B175" s="308">
        <f t="shared" si="14"/>
        <v>14</v>
      </c>
      <c r="C175" s="98">
        <f t="shared" si="15"/>
        <v>161</v>
      </c>
      <c r="D175" s="122">
        <f t="shared" si="16"/>
        <v>1966435.9502403049</v>
      </c>
      <c r="F175" s="122">
        <f t="shared" si="17"/>
        <v>17830.479145268844</v>
      </c>
      <c r="G175" s="122"/>
      <c r="H175" s="122">
        <f t="shared" si="18"/>
        <v>4720.9061436667107</v>
      </c>
      <c r="I175" s="122"/>
      <c r="J175" s="122">
        <f t="shared" si="19"/>
        <v>13109.573001602133</v>
      </c>
      <c r="K175" s="122">
        <f t="shared" si="20"/>
        <v>1961715.0440966382</v>
      </c>
    </row>
    <row r="176" spans="1:11" x14ac:dyDescent="0.25">
      <c r="A176" s="122"/>
      <c r="B176" s="308">
        <f t="shared" si="14"/>
        <v>14</v>
      </c>
      <c r="C176" s="98">
        <f t="shared" si="15"/>
        <v>162</v>
      </c>
      <c r="D176" s="122">
        <f t="shared" si="16"/>
        <v>1961715.0440966382</v>
      </c>
      <c r="F176" s="122">
        <f t="shared" si="17"/>
        <v>17830.479145268844</v>
      </c>
      <c r="G176" s="122"/>
      <c r="H176" s="122">
        <f t="shared" si="18"/>
        <v>4752.3788512912579</v>
      </c>
      <c r="I176" s="122"/>
      <c r="J176" s="122">
        <f t="shared" si="19"/>
        <v>13078.100293977586</v>
      </c>
      <c r="K176" s="122">
        <f t="shared" si="20"/>
        <v>1956962.665245347</v>
      </c>
    </row>
    <row r="177" spans="1:11" x14ac:dyDescent="0.25">
      <c r="A177" s="122"/>
      <c r="B177" s="308">
        <f t="shared" si="14"/>
        <v>14</v>
      </c>
      <c r="C177" s="98">
        <f t="shared" si="15"/>
        <v>163</v>
      </c>
      <c r="D177" s="122">
        <f t="shared" si="16"/>
        <v>1956962.665245347</v>
      </c>
      <c r="F177" s="122">
        <f t="shared" si="17"/>
        <v>17830.479145268844</v>
      </c>
      <c r="G177" s="122"/>
      <c r="H177" s="122">
        <f t="shared" si="18"/>
        <v>4784.061376966536</v>
      </c>
      <c r="I177" s="122"/>
      <c r="J177" s="122">
        <f t="shared" si="19"/>
        <v>13046.417768302308</v>
      </c>
      <c r="K177" s="122">
        <f t="shared" si="20"/>
        <v>1952178.6038683804</v>
      </c>
    </row>
    <row r="178" spans="1:11" x14ac:dyDescent="0.25">
      <c r="A178" s="122"/>
      <c r="B178" s="308">
        <f t="shared" si="14"/>
        <v>14</v>
      </c>
      <c r="C178" s="98">
        <f t="shared" si="15"/>
        <v>164</v>
      </c>
      <c r="D178" s="122">
        <f t="shared" si="16"/>
        <v>1952178.6038683804</v>
      </c>
      <c r="F178" s="122">
        <f t="shared" si="17"/>
        <v>17830.479145268844</v>
      </c>
      <c r="G178" s="122"/>
      <c r="H178" s="122">
        <f t="shared" si="18"/>
        <v>4815.9551194796804</v>
      </c>
      <c r="I178" s="122"/>
      <c r="J178" s="122">
        <f t="shared" si="19"/>
        <v>13014.524025789164</v>
      </c>
      <c r="K178" s="122">
        <f t="shared" si="20"/>
        <v>1947362.6487489007</v>
      </c>
    </row>
    <row r="179" spans="1:11" x14ac:dyDescent="0.25">
      <c r="A179" s="122"/>
      <c r="B179" s="308">
        <f t="shared" si="14"/>
        <v>14</v>
      </c>
      <c r="C179" s="98">
        <f t="shared" si="15"/>
        <v>165</v>
      </c>
      <c r="D179" s="122">
        <f t="shared" si="16"/>
        <v>1947362.6487489007</v>
      </c>
      <c r="F179" s="122">
        <f t="shared" si="17"/>
        <v>17830.479145268844</v>
      </c>
      <c r="G179" s="122"/>
      <c r="H179" s="122">
        <f t="shared" si="18"/>
        <v>4848.0614869426936</v>
      </c>
      <c r="I179" s="122"/>
      <c r="J179" s="122">
        <f t="shared" si="19"/>
        <v>12982.417658326151</v>
      </c>
      <c r="K179" s="122">
        <f t="shared" si="20"/>
        <v>1942514.587261958</v>
      </c>
    </row>
    <row r="180" spans="1:11" x14ac:dyDescent="0.25">
      <c r="A180" s="122"/>
      <c r="B180" s="308">
        <f t="shared" si="14"/>
        <v>14</v>
      </c>
      <c r="C180" s="98">
        <f t="shared" si="15"/>
        <v>166</v>
      </c>
      <c r="D180" s="122">
        <f t="shared" si="16"/>
        <v>1942514.587261958</v>
      </c>
      <c r="F180" s="122">
        <f t="shared" si="17"/>
        <v>17830.479145268844</v>
      </c>
      <c r="G180" s="122"/>
      <c r="H180" s="122">
        <f t="shared" si="18"/>
        <v>4880.3818968557753</v>
      </c>
      <c r="I180" s="122"/>
      <c r="J180" s="122">
        <f t="shared" si="19"/>
        <v>12950.097248413069</v>
      </c>
      <c r="K180" s="122">
        <f t="shared" si="20"/>
        <v>1937634.2053651023</v>
      </c>
    </row>
    <row r="181" spans="1:11" x14ac:dyDescent="0.25">
      <c r="A181" s="122"/>
      <c r="B181" s="308">
        <f t="shared" si="14"/>
        <v>14</v>
      </c>
      <c r="C181" s="98">
        <f t="shared" si="15"/>
        <v>167</v>
      </c>
      <c r="D181" s="122">
        <f t="shared" si="16"/>
        <v>1937634.2053651023</v>
      </c>
      <c r="F181" s="122">
        <f t="shared" si="17"/>
        <v>17830.479145268844</v>
      </c>
      <c r="G181" s="122"/>
      <c r="H181" s="122">
        <f t="shared" si="18"/>
        <v>4912.9177761680912</v>
      </c>
      <c r="I181" s="122"/>
      <c r="J181" s="122">
        <f t="shared" si="19"/>
        <v>12917.561369100753</v>
      </c>
      <c r="K181" s="122">
        <f t="shared" si="20"/>
        <v>1932721.2875889342</v>
      </c>
    </row>
    <row r="182" spans="1:11" x14ac:dyDescent="0.25">
      <c r="A182" s="122"/>
      <c r="B182" s="308">
        <f t="shared" si="14"/>
        <v>14</v>
      </c>
      <c r="C182" s="98">
        <f t="shared" si="15"/>
        <v>168</v>
      </c>
      <c r="D182" s="122">
        <f t="shared" si="16"/>
        <v>1932721.2875889342</v>
      </c>
      <c r="F182" s="122">
        <f t="shared" si="17"/>
        <v>17830.479145268844</v>
      </c>
      <c r="G182" s="122"/>
      <c r="H182" s="122">
        <f t="shared" si="18"/>
        <v>4945.6705613425002</v>
      </c>
      <c r="I182" s="122"/>
      <c r="J182" s="122">
        <f t="shared" si="19"/>
        <v>12884.808583926344</v>
      </c>
      <c r="K182" s="122">
        <f t="shared" si="20"/>
        <v>1927775.6170275917</v>
      </c>
    </row>
    <row r="183" spans="1:11" x14ac:dyDescent="0.25">
      <c r="A183" s="122"/>
      <c r="B183" s="308">
        <f t="shared" si="14"/>
        <v>15</v>
      </c>
      <c r="C183" s="98">
        <f t="shared" si="15"/>
        <v>169</v>
      </c>
      <c r="D183" s="122">
        <f t="shared" si="16"/>
        <v>1927775.6170275917</v>
      </c>
      <c r="F183" s="122">
        <f t="shared" si="17"/>
        <v>17830.479145268844</v>
      </c>
      <c r="G183" s="122"/>
      <c r="H183" s="122">
        <f t="shared" si="18"/>
        <v>4978.6416984181851</v>
      </c>
      <c r="I183" s="122"/>
      <c r="J183" s="122">
        <f t="shared" si="19"/>
        <v>12851.837446850659</v>
      </c>
      <c r="K183" s="122">
        <f t="shared" si="20"/>
        <v>1922796.9753291735</v>
      </c>
    </row>
    <row r="184" spans="1:11" x14ac:dyDescent="0.25">
      <c r="A184" s="122"/>
      <c r="B184" s="308">
        <f t="shared" si="14"/>
        <v>15</v>
      </c>
      <c r="C184" s="98">
        <f t="shared" si="15"/>
        <v>170</v>
      </c>
      <c r="D184" s="122">
        <f t="shared" si="16"/>
        <v>1922796.9753291735</v>
      </c>
      <c r="F184" s="122">
        <f t="shared" si="17"/>
        <v>17830.479145268844</v>
      </c>
      <c r="G184" s="122"/>
      <c r="H184" s="122">
        <f t="shared" si="18"/>
        <v>5011.8326430742163</v>
      </c>
      <c r="I184" s="122"/>
      <c r="J184" s="122">
        <f t="shared" si="19"/>
        <v>12818.646502194628</v>
      </c>
      <c r="K184" s="122">
        <f t="shared" si="20"/>
        <v>1917785.1426860993</v>
      </c>
    </row>
    <row r="185" spans="1:11" x14ac:dyDescent="0.25">
      <c r="A185" s="122"/>
      <c r="B185" s="308">
        <f t="shared" si="14"/>
        <v>15</v>
      </c>
      <c r="C185" s="98">
        <f t="shared" si="15"/>
        <v>171</v>
      </c>
      <c r="D185" s="122">
        <f t="shared" si="16"/>
        <v>1917785.1426860993</v>
      </c>
      <c r="F185" s="122">
        <f t="shared" si="17"/>
        <v>17830.479145268844</v>
      </c>
      <c r="G185" s="122"/>
      <c r="H185" s="122">
        <f t="shared" si="18"/>
        <v>5045.2448606947437</v>
      </c>
      <c r="I185" s="122"/>
      <c r="J185" s="122">
        <f t="shared" si="19"/>
        <v>12785.2342845741</v>
      </c>
      <c r="K185" s="122">
        <f t="shared" si="20"/>
        <v>1912739.8978254045</v>
      </c>
    </row>
    <row r="186" spans="1:11" x14ac:dyDescent="0.25">
      <c r="A186" s="122"/>
      <c r="B186" s="308">
        <f t="shared" si="14"/>
        <v>15</v>
      </c>
      <c r="C186" s="98">
        <f t="shared" si="15"/>
        <v>172</v>
      </c>
      <c r="D186" s="122">
        <f t="shared" si="16"/>
        <v>1912739.8978254045</v>
      </c>
      <c r="F186" s="122">
        <f t="shared" si="17"/>
        <v>17830.479145268844</v>
      </c>
      <c r="G186" s="122"/>
      <c r="H186" s="122">
        <f t="shared" si="18"/>
        <v>5078.8798264327925</v>
      </c>
      <c r="I186" s="122"/>
      <c r="J186" s="122">
        <f t="shared" si="19"/>
        <v>12751.599318836052</v>
      </c>
      <c r="K186" s="122">
        <f t="shared" si="20"/>
        <v>1907661.0179989717</v>
      </c>
    </row>
    <row r="187" spans="1:11" x14ac:dyDescent="0.25">
      <c r="A187" s="122"/>
      <c r="B187" s="308">
        <f t="shared" si="14"/>
        <v>15</v>
      </c>
      <c r="C187" s="98">
        <f t="shared" si="15"/>
        <v>173</v>
      </c>
      <c r="D187" s="122">
        <f t="shared" si="16"/>
        <v>1907661.0179989717</v>
      </c>
      <c r="F187" s="122">
        <f t="shared" si="17"/>
        <v>17830.479145268844</v>
      </c>
      <c r="G187" s="122"/>
      <c r="H187" s="122">
        <f t="shared" si="18"/>
        <v>5112.7390252756886</v>
      </c>
      <c r="I187" s="122"/>
      <c r="J187" s="122">
        <f t="shared" si="19"/>
        <v>12717.740119993156</v>
      </c>
      <c r="K187" s="122">
        <f t="shared" si="20"/>
        <v>1902548.2789736961</v>
      </c>
    </row>
    <row r="188" spans="1:11" x14ac:dyDescent="0.25">
      <c r="A188" s="122"/>
      <c r="B188" s="308">
        <f t="shared" si="14"/>
        <v>15</v>
      </c>
      <c r="C188" s="98">
        <f t="shared" si="15"/>
        <v>174</v>
      </c>
      <c r="D188" s="122">
        <f t="shared" si="16"/>
        <v>1902548.2789736961</v>
      </c>
      <c r="F188" s="122">
        <f t="shared" si="17"/>
        <v>17830.479145268844</v>
      </c>
      <c r="G188" s="122"/>
      <c r="H188" s="122">
        <f t="shared" si="18"/>
        <v>5146.8239521107171</v>
      </c>
      <c r="I188" s="122"/>
      <c r="J188" s="122">
        <f t="shared" si="19"/>
        <v>12683.655193158127</v>
      </c>
      <c r="K188" s="122">
        <f t="shared" si="20"/>
        <v>1897401.4550215853</v>
      </c>
    </row>
    <row r="189" spans="1:11" x14ac:dyDescent="0.25">
      <c r="A189" s="122"/>
      <c r="B189" s="308">
        <f t="shared" si="14"/>
        <v>15</v>
      </c>
      <c r="C189" s="98">
        <f t="shared" si="15"/>
        <v>175</v>
      </c>
      <c r="D189" s="122">
        <f t="shared" si="16"/>
        <v>1897401.4550215853</v>
      </c>
      <c r="F189" s="122">
        <f t="shared" si="17"/>
        <v>17830.479145268844</v>
      </c>
      <c r="G189" s="122"/>
      <c r="H189" s="122">
        <f t="shared" si="18"/>
        <v>5181.1361117914785</v>
      </c>
      <c r="I189" s="122"/>
      <c r="J189" s="122">
        <f t="shared" si="19"/>
        <v>12649.343033477366</v>
      </c>
      <c r="K189" s="122">
        <f t="shared" si="20"/>
        <v>1892220.3189097939</v>
      </c>
    </row>
    <row r="190" spans="1:11" x14ac:dyDescent="0.25">
      <c r="A190" s="122"/>
      <c r="B190" s="308">
        <f t="shared" si="14"/>
        <v>15</v>
      </c>
      <c r="C190" s="98">
        <f t="shared" si="15"/>
        <v>176</v>
      </c>
      <c r="D190" s="122">
        <f t="shared" si="16"/>
        <v>1892220.3189097939</v>
      </c>
      <c r="F190" s="122">
        <f t="shared" si="17"/>
        <v>17830.479145268844</v>
      </c>
      <c r="G190" s="122"/>
      <c r="H190" s="122">
        <f t="shared" si="18"/>
        <v>5215.6770192035474</v>
      </c>
      <c r="I190" s="122"/>
      <c r="J190" s="122">
        <f t="shared" si="19"/>
        <v>12614.802126065297</v>
      </c>
      <c r="K190" s="122">
        <f t="shared" si="20"/>
        <v>1887004.6418905903</v>
      </c>
    </row>
    <row r="191" spans="1:11" x14ac:dyDescent="0.25">
      <c r="A191" s="122"/>
      <c r="B191" s="308">
        <f t="shared" si="14"/>
        <v>15</v>
      </c>
      <c r="C191" s="98">
        <f t="shared" si="15"/>
        <v>177</v>
      </c>
      <c r="D191" s="122">
        <f t="shared" si="16"/>
        <v>1887004.6418905903</v>
      </c>
      <c r="F191" s="122">
        <f t="shared" si="17"/>
        <v>17830.479145268844</v>
      </c>
      <c r="G191" s="122"/>
      <c r="H191" s="122">
        <f t="shared" si="18"/>
        <v>5250.4481993315276</v>
      </c>
      <c r="I191" s="122"/>
      <c r="J191" s="122">
        <f t="shared" si="19"/>
        <v>12580.030945937317</v>
      </c>
      <c r="K191" s="122">
        <f t="shared" si="20"/>
        <v>1881754.1936912588</v>
      </c>
    </row>
    <row r="192" spans="1:11" x14ac:dyDescent="0.25">
      <c r="A192" s="122"/>
      <c r="B192" s="308">
        <f t="shared" si="14"/>
        <v>15</v>
      </c>
      <c r="C192" s="98">
        <f t="shared" si="15"/>
        <v>178</v>
      </c>
      <c r="D192" s="122">
        <f t="shared" si="16"/>
        <v>1881754.1936912588</v>
      </c>
      <c r="F192" s="122">
        <f t="shared" si="17"/>
        <v>17830.479145268844</v>
      </c>
      <c r="G192" s="122"/>
      <c r="H192" s="122">
        <f t="shared" si="18"/>
        <v>5285.4511873270385</v>
      </c>
      <c r="I192" s="122"/>
      <c r="J192" s="122">
        <f t="shared" si="19"/>
        <v>12545.027957941806</v>
      </c>
      <c r="K192" s="122">
        <f t="shared" si="20"/>
        <v>1876468.7425039317</v>
      </c>
    </row>
    <row r="193" spans="1:11" x14ac:dyDescent="0.25">
      <c r="A193" s="122"/>
      <c r="B193" s="308">
        <f t="shared" si="14"/>
        <v>15</v>
      </c>
      <c r="C193" s="98">
        <f t="shared" si="15"/>
        <v>179</v>
      </c>
      <c r="D193" s="122">
        <f t="shared" si="16"/>
        <v>1876468.7425039317</v>
      </c>
      <c r="F193" s="122">
        <f t="shared" si="17"/>
        <v>17830.479145268844</v>
      </c>
      <c r="G193" s="122"/>
      <c r="H193" s="122">
        <f t="shared" si="18"/>
        <v>5320.6875285760034</v>
      </c>
      <c r="I193" s="122"/>
      <c r="J193" s="122">
        <f t="shared" si="19"/>
        <v>12509.791616692841</v>
      </c>
      <c r="K193" s="122">
        <f t="shared" si="20"/>
        <v>1871148.0549753557</v>
      </c>
    </row>
    <row r="194" spans="1:11" x14ac:dyDescent="0.25">
      <c r="A194" s="122"/>
      <c r="B194" s="308">
        <f t="shared" si="14"/>
        <v>15</v>
      </c>
      <c r="C194" s="98">
        <f t="shared" si="15"/>
        <v>180</v>
      </c>
      <c r="D194" s="122">
        <f t="shared" si="16"/>
        <v>1871148.0549753557</v>
      </c>
      <c r="F194" s="122">
        <f t="shared" si="17"/>
        <v>17830.479145268844</v>
      </c>
      <c r="G194" s="122"/>
      <c r="H194" s="122">
        <f t="shared" si="18"/>
        <v>5356.158778766403</v>
      </c>
      <c r="I194" s="122"/>
      <c r="J194" s="122">
        <f t="shared" si="19"/>
        <v>12474.320366502441</v>
      </c>
      <c r="K194" s="122">
        <f t="shared" si="20"/>
        <v>1865791.8961965893</v>
      </c>
    </row>
    <row r="195" spans="1:11" x14ac:dyDescent="0.25">
      <c r="A195" s="122"/>
      <c r="B195" s="308">
        <f t="shared" si="14"/>
        <v>16</v>
      </c>
      <c r="C195" s="98">
        <f t="shared" si="15"/>
        <v>181</v>
      </c>
      <c r="D195" s="122">
        <f t="shared" si="16"/>
        <v>1865791.8961965893</v>
      </c>
      <c r="F195" s="122">
        <f t="shared" si="17"/>
        <v>17830.479145268844</v>
      </c>
      <c r="G195" s="122"/>
      <c r="H195" s="122">
        <f t="shared" si="18"/>
        <v>5391.8665039581247</v>
      </c>
      <c r="I195" s="122"/>
      <c r="J195" s="122">
        <f t="shared" si="19"/>
        <v>12438.612641310719</v>
      </c>
      <c r="K195" s="122">
        <f t="shared" si="20"/>
        <v>1860400.0296926312</v>
      </c>
    </row>
    <row r="196" spans="1:11" x14ac:dyDescent="0.25">
      <c r="A196" s="122"/>
      <c r="B196" s="308">
        <f t="shared" si="14"/>
        <v>16</v>
      </c>
      <c r="C196" s="98">
        <f t="shared" si="15"/>
        <v>182</v>
      </c>
      <c r="D196" s="122">
        <f t="shared" si="16"/>
        <v>1860400.0296926312</v>
      </c>
      <c r="F196" s="122">
        <f t="shared" si="17"/>
        <v>17830.479145268844</v>
      </c>
      <c r="G196" s="122"/>
      <c r="H196" s="122">
        <f t="shared" si="18"/>
        <v>5427.8122806511819</v>
      </c>
      <c r="I196" s="122"/>
      <c r="J196" s="122">
        <f t="shared" si="19"/>
        <v>12402.666864617662</v>
      </c>
      <c r="K196" s="122">
        <f t="shared" si="20"/>
        <v>1854972.21741198</v>
      </c>
    </row>
    <row r="197" spans="1:11" x14ac:dyDescent="0.25">
      <c r="A197" s="122"/>
      <c r="B197" s="308">
        <f t="shared" si="14"/>
        <v>16</v>
      </c>
      <c r="C197" s="98">
        <f t="shared" si="15"/>
        <v>183</v>
      </c>
      <c r="D197" s="122">
        <f t="shared" si="16"/>
        <v>1854972.21741198</v>
      </c>
      <c r="F197" s="122">
        <f t="shared" si="17"/>
        <v>17830.479145268844</v>
      </c>
      <c r="G197" s="122"/>
      <c r="H197" s="122">
        <f t="shared" si="18"/>
        <v>5463.9976958555635</v>
      </c>
      <c r="I197" s="122"/>
      <c r="J197" s="122">
        <f t="shared" si="19"/>
        <v>12366.481449413281</v>
      </c>
      <c r="K197" s="122">
        <f t="shared" si="20"/>
        <v>1849508.2197161245</v>
      </c>
    </row>
    <row r="198" spans="1:11" x14ac:dyDescent="0.25">
      <c r="A198" s="122"/>
      <c r="B198" s="308">
        <f t="shared" si="14"/>
        <v>16</v>
      </c>
      <c r="C198" s="98">
        <f t="shared" si="15"/>
        <v>184</v>
      </c>
      <c r="D198" s="122">
        <f t="shared" si="16"/>
        <v>1849508.2197161245</v>
      </c>
      <c r="F198" s="122">
        <f t="shared" si="17"/>
        <v>17830.479145268844</v>
      </c>
      <c r="G198" s="122"/>
      <c r="H198" s="122">
        <f t="shared" si="18"/>
        <v>5500.4243471613154</v>
      </c>
      <c r="I198" s="122"/>
      <c r="J198" s="122">
        <f t="shared" si="19"/>
        <v>12330.054798107529</v>
      </c>
      <c r="K198" s="122">
        <f t="shared" si="20"/>
        <v>1844007.7953689632</v>
      </c>
    </row>
    <row r="199" spans="1:11" x14ac:dyDescent="0.25">
      <c r="A199" s="122"/>
      <c r="B199" s="308">
        <f t="shared" si="14"/>
        <v>16</v>
      </c>
      <c r="C199" s="98">
        <f t="shared" si="15"/>
        <v>185</v>
      </c>
      <c r="D199" s="122">
        <f t="shared" si="16"/>
        <v>1844007.7953689632</v>
      </c>
      <c r="F199" s="122">
        <f t="shared" si="17"/>
        <v>17830.479145268844</v>
      </c>
      <c r="G199" s="122"/>
      <c r="H199" s="122">
        <f t="shared" si="18"/>
        <v>5537.0938428090885</v>
      </c>
      <c r="I199" s="122"/>
      <c r="J199" s="122">
        <f t="shared" si="19"/>
        <v>12293.385302459756</v>
      </c>
      <c r="K199" s="122">
        <f t="shared" si="20"/>
        <v>1838470.7015261541</v>
      </c>
    </row>
    <row r="200" spans="1:11" x14ac:dyDescent="0.25">
      <c r="A200" s="122"/>
      <c r="B200" s="308">
        <f t="shared" si="14"/>
        <v>16</v>
      </c>
      <c r="C200" s="98">
        <f t="shared" si="15"/>
        <v>186</v>
      </c>
      <c r="D200" s="122">
        <f t="shared" si="16"/>
        <v>1838470.7015261541</v>
      </c>
      <c r="F200" s="122">
        <f t="shared" si="17"/>
        <v>17830.479145268844</v>
      </c>
      <c r="G200" s="122"/>
      <c r="H200" s="122">
        <f t="shared" si="18"/>
        <v>5574.0078017611522</v>
      </c>
      <c r="I200" s="122"/>
      <c r="J200" s="122">
        <f t="shared" si="19"/>
        <v>12256.471343507692</v>
      </c>
      <c r="K200" s="122">
        <f t="shared" si="20"/>
        <v>1832896.6937243929</v>
      </c>
    </row>
    <row r="201" spans="1:11" x14ac:dyDescent="0.25">
      <c r="A201" s="122"/>
      <c r="B201" s="308">
        <f t="shared" si="14"/>
        <v>16</v>
      </c>
      <c r="C201" s="98">
        <f t="shared" si="15"/>
        <v>187</v>
      </c>
      <c r="D201" s="122">
        <f t="shared" si="16"/>
        <v>1832896.6937243929</v>
      </c>
      <c r="F201" s="122">
        <f t="shared" si="17"/>
        <v>17830.479145268844</v>
      </c>
      <c r="G201" s="122"/>
      <c r="H201" s="122">
        <f t="shared" si="18"/>
        <v>5611.1678537728731</v>
      </c>
      <c r="I201" s="122"/>
      <c r="J201" s="122">
        <f t="shared" si="19"/>
        <v>12219.311291495971</v>
      </c>
      <c r="K201" s="122">
        <f t="shared" si="20"/>
        <v>1827285.52587062</v>
      </c>
    </row>
    <row r="202" spans="1:11" x14ac:dyDescent="0.25">
      <c r="A202" s="122"/>
      <c r="B202" s="308">
        <f t="shared" si="14"/>
        <v>16</v>
      </c>
      <c r="C202" s="98">
        <f t="shared" si="15"/>
        <v>188</v>
      </c>
      <c r="D202" s="122">
        <f t="shared" si="16"/>
        <v>1827285.52587062</v>
      </c>
      <c r="F202" s="122">
        <f t="shared" si="17"/>
        <v>17830.479145268844</v>
      </c>
      <c r="G202" s="122"/>
      <c r="H202" s="122">
        <f t="shared" si="18"/>
        <v>5648.5756394646596</v>
      </c>
      <c r="I202" s="122"/>
      <c r="J202" s="122">
        <f t="shared" si="19"/>
        <v>12181.903505804185</v>
      </c>
      <c r="K202" s="122">
        <f t="shared" si="20"/>
        <v>1821636.9502311554</v>
      </c>
    </row>
    <row r="203" spans="1:11" x14ac:dyDescent="0.25">
      <c r="A203" s="122"/>
      <c r="B203" s="308">
        <f t="shared" si="14"/>
        <v>16</v>
      </c>
      <c r="C203" s="98">
        <f t="shared" si="15"/>
        <v>189</v>
      </c>
      <c r="D203" s="122">
        <f t="shared" si="16"/>
        <v>1821636.9502311554</v>
      </c>
      <c r="F203" s="122">
        <f t="shared" si="17"/>
        <v>17830.479145268844</v>
      </c>
      <c r="G203" s="122"/>
      <c r="H203" s="122">
        <f t="shared" si="18"/>
        <v>5686.2328103943728</v>
      </c>
      <c r="I203" s="122"/>
      <c r="J203" s="122">
        <f t="shared" si="19"/>
        <v>12144.246334874471</v>
      </c>
      <c r="K203" s="122">
        <f t="shared" si="20"/>
        <v>1815950.717420761</v>
      </c>
    </row>
    <row r="204" spans="1:11" x14ac:dyDescent="0.25">
      <c r="A204" s="122"/>
      <c r="B204" s="308">
        <f t="shared" si="14"/>
        <v>16</v>
      </c>
      <c r="C204" s="98">
        <f t="shared" si="15"/>
        <v>190</v>
      </c>
      <c r="D204" s="122">
        <f t="shared" si="16"/>
        <v>1815950.717420761</v>
      </c>
      <c r="F204" s="122">
        <f t="shared" si="17"/>
        <v>17830.479145268844</v>
      </c>
      <c r="G204" s="122"/>
      <c r="H204" s="122">
        <f t="shared" si="18"/>
        <v>5724.1410291304346</v>
      </c>
      <c r="I204" s="122"/>
      <c r="J204" s="122">
        <f t="shared" si="19"/>
        <v>12106.33811613841</v>
      </c>
      <c r="K204" s="122">
        <f t="shared" si="20"/>
        <v>1810226.5763916306</v>
      </c>
    </row>
    <row r="205" spans="1:11" x14ac:dyDescent="0.25">
      <c r="A205" s="122"/>
      <c r="B205" s="308">
        <f t="shared" si="14"/>
        <v>16</v>
      </c>
      <c r="C205" s="98">
        <f t="shared" si="15"/>
        <v>191</v>
      </c>
      <c r="D205" s="122">
        <f t="shared" si="16"/>
        <v>1810226.5763916306</v>
      </c>
      <c r="F205" s="122">
        <f t="shared" si="17"/>
        <v>17830.479145268844</v>
      </c>
      <c r="G205" s="122"/>
      <c r="H205" s="122">
        <f t="shared" si="18"/>
        <v>5762.3019693247043</v>
      </c>
      <c r="I205" s="122"/>
      <c r="J205" s="122">
        <f t="shared" si="19"/>
        <v>12068.17717594414</v>
      </c>
      <c r="K205" s="122">
        <f t="shared" si="20"/>
        <v>1804464.2744223059</v>
      </c>
    </row>
    <row r="206" spans="1:11" x14ac:dyDescent="0.25">
      <c r="A206" s="122"/>
      <c r="B206" s="308">
        <f t="shared" si="14"/>
        <v>16</v>
      </c>
      <c r="C206" s="98">
        <f t="shared" si="15"/>
        <v>192</v>
      </c>
      <c r="D206" s="122">
        <f t="shared" si="16"/>
        <v>1804464.2744223059</v>
      </c>
      <c r="F206" s="122">
        <f t="shared" si="17"/>
        <v>17830.479145268844</v>
      </c>
      <c r="G206" s="122"/>
      <c r="H206" s="122">
        <f t="shared" si="18"/>
        <v>5800.717315786751</v>
      </c>
      <c r="I206" s="122"/>
      <c r="J206" s="122">
        <f t="shared" si="19"/>
        <v>12029.761829482093</v>
      </c>
      <c r="K206" s="122">
        <f t="shared" si="20"/>
        <v>1798663.5571065191</v>
      </c>
    </row>
    <row r="207" spans="1:11" x14ac:dyDescent="0.25">
      <c r="A207" s="122"/>
      <c r="B207" s="308">
        <f t="shared" si="14"/>
        <v>17</v>
      </c>
      <c r="C207" s="98">
        <f t="shared" si="15"/>
        <v>193</v>
      </c>
      <c r="D207" s="122">
        <f t="shared" si="16"/>
        <v>1798663.5571065191</v>
      </c>
      <c r="F207" s="122">
        <f t="shared" si="17"/>
        <v>17830.479145268844</v>
      </c>
      <c r="G207" s="122"/>
      <c r="H207" s="122">
        <f t="shared" si="18"/>
        <v>5839.3887645585928</v>
      </c>
      <c r="I207" s="122"/>
      <c r="J207" s="122">
        <f t="shared" si="19"/>
        <v>11991.090380710251</v>
      </c>
      <c r="K207" s="122">
        <f t="shared" si="20"/>
        <v>1792824.1683419605</v>
      </c>
    </row>
    <row r="208" spans="1:11" x14ac:dyDescent="0.25">
      <c r="A208" s="122"/>
      <c r="B208" s="308">
        <f t="shared" ref="B208:B271" si="21">ROUNDUP(C208/12,0)</f>
        <v>17</v>
      </c>
      <c r="C208" s="98">
        <f t="shared" ref="C208:C271" si="22">C207+1</f>
        <v>194</v>
      </c>
      <c r="D208" s="122">
        <f t="shared" ref="D208:D271" si="23">IF(C208&gt;$H$8+$M$7,0,K207)</f>
        <v>1792824.1683419605</v>
      </c>
      <c r="F208" s="122">
        <f t="shared" ref="F208:F271" si="24">-IF(AND($M$6&gt;0,C208&lt;=$M$7),-$F$10*$F$6,PMT($F$10,$H$8,$F$6,,0))*IF(C208&gt;$H$8+$M$7,0,1)</f>
        <v>17830.479145268844</v>
      </c>
      <c r="G208" s="122"/>
      <c r="H208" s="122">
        <f t="shared" ref="H208:H271" si="25">IF(AND($M$6&gt;0,C208&lt;=$M$7),0,D208-K208)</f>
        <v>5878.3180229889695</v>
      </c>
      <c r="I208" s="122"/>
      <c r="J208" s="122">
        <f t="shared" ref="J208:J271" si="26">F208-H208</f>
        <v>11952.161122279875</v>
      </c>
      <c r="K208" s="122">
        <f t="shared" ref="K208:K271" si="27">-FV($F$10,1,-F208,D208)</f>
        <v>1786945.8503189716</v>
      </c>
    </row>
    <row r="209" spans="1:11" x14ac:dyDescent="0.25">
      <c r="A209" s="122"/>
      <c r="B209" s="308">
        <f t="shared" si="21"/>
        <v>17</v>
      </c>
      <c r="C209" s="98">
        <f t="shared" si="22"/>
        <v>195</v>
      </c>
      <c r="D209" s="122">
        <f t="shared" si="23"/>
        <v>1786945.8503189716</v>
      </c>
      <c r="F209" s="122">
        <f t="shared" si="24"/>
        <v>17830.479145268844</v>
      </c>
      <c r="G209" s="122"/>
      <c r="H209" s="122">
        <f t="shared" si="25"/>
        <v>5917.5068098090123</v>
      </c>
      <c r="I209" s="122"/>
      <c r="J209" s="122">
        <f t="shared" si="26"/>
        <v>11912.972335459832</v>
      </c>
      <c r="K209" s="122">
        <f t="shared" si="27"/>
        <v>1781028.3435091625</v>
      </c>
    </row>
    <row r="210" spans="1:11" x14ac:dyDescent="0.25">
      <c r="A210" s="122"/>
      <c r="B210" s="308">
        <f t="shared" si="21"/>
        <v>17</v>
      </c>
      <c r="C210" s="98">
        <f t="shared" si="22"/>
        <v>196</v>
      </c>
      <c r="D210" s="122">
        <f t="shared" si="23"/>
        <v>1781028.3435091625</v>
      </c>
      <c r="F210" s="122">
        <f t="shared" si="24"/>
        <v>17830.479145268844</v>
      </c>
      <c r="G210" s="122"/>
      <c r="H210" s="122">
        <f t="shared" si="25"/>
        <v>5956.9568552076817</v>
      </c>
      <c r="I210" s="122"/>
      <c r="J210" s="122">
        <f t="shared" si="26"/>
        <v>11873.522290061162</v>
      </c>
      <c r="K210" s="122">
        <f t="shared" si="27"/>
        <v>1775071.3866539549</v>
      </c>
    </row>
    <row r="211" spans="1:11" x14ac:dyDescent="0.25">
      <c r="A211" s="122"/>
      <c r="B211" s="308">
        <f t="shared" si="21"/>
        <v>17</v>
      </c>
      <c r="C211" s="98">
        <f t="shared" si="22"/>
        <v>197</v>
      </c>
      <c r="D211" s="122">
        <f t="shared" si="23"/>
        <v>1775071.3866539549</v>
      </c>
      <c r="F211" s="122">
        <f t="shared" si="24"/>
        <v>17830.479145268844</v>
      </c>
      <c r="G211" s="122"/>
      <c r="H211" s="122">
        <f t="shared" si="25"/>
        <v>5996.6699009090662</v>
      </c>
      <c r="I211" s="122"/>
      <c r="J211" s="122">
        <f t="shared" si="26"/>
        <v>11833.809244359778</v>
      </c>
      <c r="K211" s="122">
        <f t="shared" si="27"/>
        <v>1769074.7167530458</v>
      </c>
    </row>
    <row r="212" spans="1:11" x14ac:dyDescent="0.25">
      <c r="A212" s="122"/>
      <c r="B212" s="308">
        <f t="shared" si="21"/>
        <v>17</v>
      </c>
      <c r="C212" s="98">
        <f t="shared" si="22"/>
        <v>198</v>
      </c>
      <c r="D212" s="122">
        <f t="shared" si="23"/>
        <v>1769074.7167530458</v>
      </c>
      <c r="F212" s="122">
        <f t="shared" si="24"/>
        <v>17830.479145268844</v>
      </c>
      <c r="G212" s="122"/>
      <c r="H212" s="122">
        <f t="shared" si="25"/>
        <v>6036.647700248519</v>
      </c>
      <c r="I212" s="122"/>
      <c r="J212" s="122">
        <f t="shared" si="26"/>
        <v>11793.831445020325</v>
      </c>
      <c r="K212" s="122">
        <f t="shared" si="27"/>
        <v>1763038.0690527973</v>
      </c>
    </row>
    <row r="213" spans="1:11" x14ac:dyDescent="0.25">
      <c r="A213" s="122"/>
      <c r="B213" s="308">
        <f t="shared" si="21"/>
        <v>17</v>
      </c>
      <c r="C213" s="98">
        <f t="shared" si="22"/>
        <v>199</v>
      </c>
      <c r="D213" s="122">
        <f t="shared" si="23"/>
        <v>1763038.0690527973</v>
      </c>
      <c r="F213" s="122">
        <f t="shared" si="24"/>
        <v>17830.479145268844</v>
      </c>
      <c r="G213" s="122"/>
      <c r="H213" s="122">
        <f t="shared" si="25"/>
        <v>6076.8920182501897</v>
      </c>
      <c r="I213" s="122"/>
      <c r="J213" s="122">
        <f t="shared" si="26"/>
        <v>11753.587127018654</v>
      </c>
      <c r="K213" s="122">
        <f t="shared" si="27"/>
        <v>1756961.1770345471</v>
      </c>
    </row>
    <row r="214" spans="1:11" x14ac:dyDescent="0.25">
      <c r="A214" s="122"/>
      <c r="B214" s="308">
        <f t="shared" si="21"/>
        <v>17</v>
      </c>
      <c r="C214" s="98">
        <f t="shared" si="22"/>
        <v>200</v>
      </c>
      <c r="D214" s="122">
        <f t="shared" si="23"/>
        <v>1756961.1770345471</v>
      </c>
      <c r="F214" s="122">
        <f t="shared" si="24"/>
        <v>17830.479145268844</v>
      </c>
      <c r="G214" s="122"/>
      <c r="H214" s="122">
        <f t="shared" si="25"/>
        <v>6117.4046317052562</v>
      </c>
      <c r="I214" s="122"/>
      <c r="J214" s="122">
        <f t="shared" si="26"/>
        <v>11713.074513563588</v>
      </c>
      <c r="K214" s="122">
        <f t="shared" si="27"/>
        <v>1750843.7724028418</v>
      </c>
    </row>
    <row r="215" spans="1:11" x14ac:dyDescent="0.25">
      <c r="A215" s="122"/>
      <c r="B215" s="308">
        <f t="shared" si="21"/>
        <v>17</v>
      </c>
      <c r="C215" s="98">
        <f t="shared" si="22"/>
        <v>201</v>
      </c>
      <c r="D215" s="122">
        <f t="shared" si="23"/>
        <v>1750843.7724028418</v>
      </c>
      <c r="F215" s="122">
        <f t="shared" si="24"/>
        <v>17830.479145268844</v>
      </c>
      <c r="G215" s="122"/>
      <c r="H215" s="122">
        <f t="shared" si="25"/>
        <v>6158.1873292499222</v>
      </c>
      <c r="I215" s="122"/>
      <c r="J215" s="122">
        <f t="shared" si="26"/>
        <v>11672.291816018922</v>
      </c>
      <c r="K215" s="122">
        <f t="shared" si="27"/>
        <v>1744685.5850735919</v>
      </c>
    </row>
    <row r="216" spans="1:11" x14ac:dyDescent="0.25">
      <c r="A216" s="122"/>
      <c r="B216" s="308">
        <f t="shared" si="21"/>
        <v>17</v>
      </c>
      <c r="C216" s="98">
        <f t="shared" si="22"/>
        <v>202</v>
      </c>
      <c r="D216" s="122">
        <f t="shared" si="23"/>
        <v>1744685.5850735919</v>
      </c>
      <c r="F216" s="122">
        <f t="shared" si="24"/>
        <v>17830.479145268844</v>
      </c>
      <c r="G216" s="122"/>
      <c r="H216" s="122">
        <f t="shared" si="25"/>
        <v>6199.241911444813</v>
      </c>
      <c r="I216" s="122"/>
      <c r="J216" s="122">
        <f t="shared" si="26"/>
        <v>11631.237233824031</v>
      </c>
      <c r="K216" s="122">
        <f t="shared" si="27"/>
        <v>1738486.3431621471</v>
      </c>
    </row>
    <row r="217" spans="1:11" x14ac:dyDescent="0.25">
      <c r="A217" s="122"/>
      <c r="B217" s="308">
        <f t="shared" si="21"/>
        <v>17</v>
      </c>
      <c r="C217" s="98">
        <f t="shared" si="22"/>
        <v>203</v>
      </c>
      <c r="D217" s="122">
        <f t="shared" si="23"/>
        <v>1738486.3431621471</v>
      </c>
      <c r="F217" s="122">
        <f t="shared" si="24"/>
        <v>17830.479145268844</v>
      </c>
      <c r="G217" s="122"/>
      <c r="H217" s="122">
        <f t="shared" si="25"/>
        <v>6240.5701908543706</v>
      </c>
      <c r="I217" s="122"/>
      <c r="J217" s="122">
        <f t="shared" si="26"/>
        <v>11589.908954414474</v>
      </c>
      <c r="K217" s="122">
        <f t="shared" si="27"/>
        <v>1732245.7729712927</v>
      </c>
    </row>
    <row r="218" spans="1:11" x14ac:dyDescent="0.25">
      <c r="A218" s="122"/>
      <c r="B218" s="308">
        <f t="shared" si="21"/>
        <v>17</v>
      </c>
      <c r="C218" s="98">
        <f t="shared" si="22"/>
        <v>204</v>
      </c>
      <c r="D218" s="122">
        <f t="shared" si="23"/>
        <v>1732245.7729712927</v>
      </c>
      <c r="F218" s="122">
        <f t="shared" si="24"/>
        <v>17830.479145268844</v>
      </c>
      <c r="G218" s="122"/>
      <c r="H218" s="122">
        <f t="shared" si="25"/>
        <v>6282.1739921269473</v>
      </c>
      <c r="I218" s="122"/>
      <c r="J218" s="122">
        <f t="shared" si="26"/>
        <v>11548.305153141897</v>
      </c>
      <c r="K218" s="122">
        <f t="shared" si="27"/>
        <v>1725963.5989791658</v>
      </c>
    </row>
    <row r="219" spans="1:11" x14ac:dyDescent="0.25">
      <c r="A219" s="122"/>
      <c r="B219" s="308">
        <f t="shared" si="21"/>
        <v>18</v>
      </c>
      <c r="C219" s="98">
        <f t="shared" si="22"/>
        <v>205</v>
      </c>
      <c r="D219" s="122">
        <f t="shared" si="23"/>
        <v>1725963.5989791658</v>
      </c>
      <c r="F219" s="122">
        <f t="shared" si="24"/>
        <v>17830.479145268844</v>
      </c>
      <c r="G219" s="122"/>
      <c r="H219" s="122">
        <f t="shared" si="25"/>
        <v>6324.0551520744339</v>
      </c>
      <c r="I219" s="122"/>
      <c r="J219" s="122">
        <f t="shared" si="26"/>
        <v>11506.42399319441</v>
      </c>
      <c r="K219" s="122">
        <f t="shared" si="27"/>
        <v>1719639.5438270913</v>
      </c>
    </row>
    <row r="220" spans="1:11" x14ac:dyDescent="0.25">
      <c r="A220" s="122"/>
      <c r="B220" s="308">
        <f t="shared" si="21"/>
        <v>18</v>
      </c>
      <c r="C220" s="98">
        <f t="shared" si="22"/>
        <v>206</v>
      </c>
      <c r="D220" s="122">
        <f t="shared" si="23"/>
        <v>1719639.5438270913</v>
      </c>
      <c r="F220" s="122">
        <f t="shared" si="24"/>
        <v>17830.479145268844</v>
      </c>
      <c r="G220" s="122"/>
      <c r="H220" s="122">
        <f t="shared" si="25"/>
        <v>6366.2155197549146</v>
      </c>
      <c r="I220" s="122"/>
      <c r="J220" s="122">
        <f t="shared" si="26"/>
        <v>11464.26362551393</v>
      </c>
      <c r="K220" s="122">
        <f t="shared" si="27"/>
        <v>1713273.3283073364</v>
      </c>
    </row>
    <row r="221" spans="1:11" x14ac:dyDescent="0.25">
      <c r="A221" s="122"/>
      <c r="B221" s="308">
        <f t="shared" si="21"/>
        <v>18</v>
      </c>
      <c r="C221" s="98">
        <f t="shared" si="22"/>
        <v>207</v>
      </c>
      <c r="D221" s="122">
        <f t="shared" si="23"/>
        <v>1713273.3283073364</v>
      </c>
      <c r="F221" s="122">
        <f t="shared" si="24"/>
        <v>17830.479145268844</v>
      </c>
      <c r="G221" s="122"/>
      <c r="H221" s="122">
        <f t="shared" si="25"/>
        <v>6408.6569565532263</v>
      </c>
      <c r="I221" s="122"/>
      <c r="J221" s="122">
        <f t="shared" si="26"/>
        <v>11421.822188715618</v>
      </c>
      <c r="K221" s="122">
        <f t="shared" si="27"/>
        <v>1706864.6713507832</v>
      </c>
    </row>
    <row r="222" spans="1:11" x14ac:dyDescent="0.25">
      <c r="A222" s="122"/>
      <c r="B222" s="308">
        <f t="shared" si="21"/>
        <v>18</v>
      </c>
      <c r="C222" s="98">
        <f t="shared" si="22"/>
        <v>208</v>
      </c>
      <c r="D222" s="122">
        <f t="shared" si="23"/>
        <v>1706864.6713507832</v>
      </c>
      <c r="F222" s="122">
        <f t="shared" si="24"/>
        <v>17830.479145268844</v>
      </c>
      <c r="G222" s="122"/>
      <c r="H222" s="122">
        <f t="shared" si="25"/>
        <v>6451.3813362636138</v>
      </c>
      <c r="I222" s="122"/>
      <c r="J222" s="122">
        <f t="shared" si="26"/>
        <v>11379.09780900523</v>
      </c>
      <c r="K222" s="122">
        <f t="shared" si="27"/>
        <v>1700413.2900145196</v>
      </c>
    </row>
    <row r="223" spans="1:11" x14ac:dyDescent="0.25">
      <c r="A223" s="122"/>
      <c r="B223" s="308">
        <f t="shared" si="21"/>
        <v>18</v>
      </c>
      <c r="C223" s="98">
        <f t="shared" si="22"/>
        <v>209</v>
      </c>
      <c r="D223" s="122">
        <f t="shared" si="23"/>
        <v>1700413.2900145196</v>
      </c>
      <c r="F223" s="122">
        <f t="shared" si="24"/>
        <v>17830.479145268844</v>
      </c>
      <c r="G223" s="122"/>
      <c r="H223" s="122">
        <f t="shared" si="25"/>
        <v>6494.3905451719183</v>
      </c>
      <c r="I223" s="122"/>
      <c r="J223" s="122">
        <f t="shared" si="26"/>
        <v>11336.088600096926</v>
      </c>
      <c r="K223" s="122">
        <f t="shared" si="27"/>
        <v>1693918.8994693477</v>
      </c>
    </row>
    <row r="224" spans="1:11" x14ac:dyDescent="0.25">
      <c r="A224" s="122"/>
      <c r="B224" s="308">
        <f t="shared" si="21"/>
        <v>18</v>
      </c>
      <c r="C224" s="98">
        <f t="shared" si="22"/>
        <v>210</v>
      </c>
      <c r="D224" s="122">
        <f t="shared" si="23"/>
        <v>1693918.8994693477</v>
      </c>
      <c r="F224" s="122">
        <f t="shared" si="24"/>
        <v>17830.479145268844</v>
      </c>
      <c r="G224" s="122"/>
      <c r="H224" s="122">
        <f t="shared" si="25"/>
        <v>6537.6864821398631</v>
      </c>
      <c r="I224" s="122"/>
      <c r="J224" s="122">
        <f t="shared" si="26"/>
        <v>11292.792663128981</v>
      </c>
      <c r="K224" s="122">
        <f t="shared" si="27"/>
        <v>1687381.2129872078</v>
      </c>
    </row>
    <row r="225" spans="1:11" x14ac:dyDescent="0.25">
      <c r="A225" s="122"/>
      <c r="B225" s="308">
        <f t="shared" si="21"/>
        <v>18</v>
      </c>
      <c r="C225" s="98">
        <f t="shared" si="22"/>
        <v>211</v>
      </c>
      <c r="D225" s="122">
        <f t="shared" si="23"/>
        <v>1687381.2129872078</v>
      </c>
      <c r="F225" s="122">
        <f t="shared" si="24"/>
        <v>17830.479145268844</v>
      </c>
      <c r="G225" s="122"/>
      <c r="H225" s="122">
        <f t="shared" si="25"/>
        <v>6581.2710586874746</v>
      </c>
      <c r="I225" s="122"/>
      <c r="J225" s="122">
        <f t="shared" si="26"/>
        <v>11249.20808658137</v>
      </c>
      <c r="K225" s="122">
        <f t="shared" si="27"/>
        <v>1680799.9419285203</v>
      </c>
    </row>
    <row r="226" spans="1:11" x14ac:dyDescent="0.25">
      <c r="A226" s="122"/>
      <c r="B226" s="308">
        <f t="shared" si="21"/>
        <v>18</v>
      </c>
      <c r="C226" s="98">
        <f t="shared" si="22"/>
        <v>212</v>
      </c>
      <c r="D226" s="122">
        <f t="shared" si="23"/>
        <v>1680799.9419285203</v>
      </c>
      <c r="F226" s="122">
        <f t="shared" si="24"/>
        <v>17830.479145268844</v>
      </c>
      <c r="G226" s="122"/>
      <c r="H226" s="122">
        <f t="shared" si="25"/>
        <v>6625.1461990787648</v>
      </c>
      <c r="I226" s="122"/>
      <c r="J226" s="122">
        <f t="shared" si="26"/>
        <v>11205.332946190079</v>
      </c>
      <c r="K226" s="122">
        <f t="shared" si="27"/>
        <v>1674174.7957294416</v>
      </c>
    </row>
    <row r="227" spans="1:11" x14ac:dyDescent="0.25">
      <c r="A227" s="122"/>
      <c r="B227" s="308">
        <f t="shared" si="21"/>
        <v>18</v>
      </c>
      <c r="C227" s="98">
        <f t="shared" si="22"/>
        <v>213</v>
      </c>
      <c r="D227" s="122">
        <f t="shared" si="23"/>
        <v>1674174.7957294416</v>
      </c>
      <c r="F227" s="122">
        <f t="shared" si="24"/>
        <v>17830.479145268844</v>
      </c>
      <c r="G227" s="122"/>
      <c r="H227" s="122">
        <f t="shared" si="25"/>
        <v>6669.3138404057827</v>
      </c>
      <c r="I227" s="122"/>
      <c r="J227" s="122">
        <f t="shared" si="26"/>
        <v>11161.165304863061</v>
      </c>
      <c r="K227" s="122">
        <f t="shared" si="27"/>
        <v>1667505.4818890358</v>
      </c>
    </row>
    <row r="228" spans="1:11" x14ac:dyDescent="0.25">
      <c r="A228" s="122"/>
      <c r="B228" s="308">
        <f t="shared" si="21"/>
        <v>18</v>
      </c>
      <c r="C228" s="98">
        <f t="shared" si="22"/>
        <v>214</v>
      </c>
      <c r="D228" s="122">
        <f t="shared" si="23"/>
        <v>1667505.4818890358</v>
      </c>
      <c r="F228" s="122">
        <f t="shared" si="24"/>
        <v>17830.479145268844</v>
      </c>
      <c r="G228" s="122"/>
      <c r="H228" s="122">
        <f t="shared" si="25"/>
        <v>6713.7759326752275</v>
      </c>
      <c r="I228" s="122"/>
      <c r="J228" s="122">
        <f t="shared" si="26"/>
        <v>11116.703212593617</v>
      </c>
      <c r="K228" s="122">
        <f t="shared" si="27"/>
        <v>1660791.7059563606</v>
      </c>
    </row>
    <row r="229" spans="1:11" x14ac:dyDescent="0.25">
      <c r="A229" s="122"/>
      <c r="B229" s="308">
        <f t="shared" si="21"/>
        <v>18</v>
      </c>
      <c r="C229" s="98">
        <f t="shared" si="22"/>
        <v>215</v>
      </c>
      <c r="D229" s="122">
        <f t="shared" si="23"/>
        <v>1660791.7059563606</v>
      </c>
      <c r="F229" s="122">
        <f t="shared" si="24"/>
        <v>17830.479145268844</v>
      </c>
      <c r="G229" s="122"/>
      <c r="H229" s="122">
        <f t="shared" si="25"/>
        <v>6758.5344388929661</v>
      </c>
      <c r="I229" s="122"/>
      <c r="J229" s="122">
        <f t="shared" si="26"/>
        <v>11071.944706375878</v>
      </c>
      <c r="K229" s="122">
        <f t="shared" si="27"/>
        <v>1654033.1715174676</v>
      </c>
    </row>
    <row r="230" spans="1:11" x14ac:dyDescent="0.25">
      <c r="A230" s="122"/>
      <c r="B230" s="308">
        <f t="shared" si="21"/>
        <v>18</v>
      </c>
      <c r="C230" s="98">
        <f t="shared" si="22"/>
        <v>216</v>
      </c>
      <c r="D230" s="122">
        <f t="shared" si="23"/>
        <v>1654033.1715174676</v>
      </c>
      <c r="F230" s="122">
        <f t="shared" si="24"/>
        <v>17830.479145268844</v>
      </c>
      <c r="G230" s="122"/>
      <c r="H230" s="122">
        <f t="shared" si="25"/>
        <v>6803.5913351522759</v>
      </c>
      <c r="I230" s="122"/>
      <c r="J230" s="122">
        <f t="shared" si="26"/>
        <v>11026.887810116568</v>
      </c>
      <c r="K230" s="122">
        <f t="shared" si="27"/>
        <v>1647229.5801823153</v>
      </c>
    </row>
    <row r="231" spans="1:11" x14ac:dyDescent="0.25">
      <c r="A231" s="122"/>
      <c r="B231" s="308">
        <f t="shared" si="21"/>
        <v>19</v>
      </c>
      <c r="C231" s="98">
        <f t="shared" si="22"/>
        <v>217</v>
      </c>
      <c r="D231" s="122">
        <f t="shared" si="23"/>
        <v>1647229.5801823153</v>
      </c>
      <c r="F231" s="122">
        <f t="shared" si="24"/>
        <v>17830.479145268844</v>
      </c>
      <c r="G231" s="122"/>
      <c r="H231" s="122">
        <f t="shared" si="25"/>
        <v>6848.9486107199918</v>
      </c>
      <c r="I231" s="122"/>
      <c r="J231" s="122">
        <f t="shared" si="26"/>
        <v>10981.530534548852</v>
      </c>
      <c r="K231" s="122">
        <f t="shared" si="27"/>
        <v>1640380.6315715953</v>
      </c>
    </row>
    <row r="232" spans="1:11" x14ac:dyDescent="0.25">
      <c r="A232" s="122"/>
      <c r="B232" s="308">
        <f t="shared" si="21"/>
        <v>19</v>
      </c>
      <c r="C232" s="98">
        <f t="shared" si="22"/>
        <v>218</v>
      </c>
      <c r="D232" s="122">
        <f t="shared" si="23"/>
        <v>1640380.6315715953</v>
      </c>
      <c r="F232" s="122">
        <f t="shared" si="24"/>
        <v>17830.479145268844</v>
      </c>
      <c r="G232" s="122"/>
      <c r="H232" s="122">
        <f t="shared" si="25"/>
        <v>6894.6082681247499</v>
      </c>
      <c r="I232" s="122"/>
      <c r="J232" s="122">
        <f t="shared" si="26"/>
        <v>10935.870877144094</v>
      </c>
      <c r="K232" s="122">
        <f t="shared" si="27"/>
        <v>1633486.0233034706</v>
      </c>
    </row>
    <row r="233" spans="1:11" x14ac:dyDescent="0.25">
      <c r="A233" s="122"/>
      <c r="B233" s="308">
        <f t="shared" si="21"/>
        <v>19</v>
      </c>
      <c r="C233" s="98">
        <f t="shared" si="22"/>
        <v>219</v>
      </c>
      <c r="D233" s="122">
        <f t="shared" si="23"/>
        <v>1633486.0233034706</v>
      </c>
      <c r="F233" s="122">
        <f t="shared" si="24"/>
        <v>17830.479145268844</v>
      </c>
      <c r="G233" s="122"/>
      <c r="H233" s="122">
        <f t="shared" si="25"/>
        <v>6940.5723232456949</v>
      </c>
      <c r="I233" s="122"/>
      <c r="J233" s="122">
        <f t="shared" si="26"/>
        <v>10889.906822023149</v>
      </c>
      <c r="K233" s="122">
        <f t="shared" si="27"/>
        <v>1626545.4509802249</v>
      </c>
    </row>
    <row r="234" spans="1:11" x14ac:dyDescent="0.25">
      <c r="A234" s="122"/>
      <c r="B234" s="308">
        <f t="shared" si="21"/>
        <v>19</v>
      </c>
      <c r="C234" s="98">
        <f t="shared" si="22"/>
        <v>220</v>
      </c>
      <c r="D234" s="122">
        <f t="shared" si="23"/>
        <v>1626545.4509802249</v>
      </c>
      <c r="F234" s="122">
        <f t="shared" si="24"/>
        <v>17830.479145268844</v>
      </c>
      <c r="G234" s="122"/>
      <c r="H234" s="122">
        <f t="shared" si="25"/>
        <v>6986.8428054007236</v>
      </c>
      <c r="I234" s="122"/>
      <c r="J234" s="122">
        <f t="shared" si="26"/>
        <v>10843.636339868121</v>
      </c>
      <c r="K234" s="122">
        <f t="shared" si="27"/>
        <v>1619558.6081748242</v>
      </c>
    </row>
    <row r="235" spans="1:11" x14ac:dyDescent="0.25">
      <c r="A235" s="122"/>
      <c r="B235" s="308">
        <f t="shared" si="21"/>
        <v>19</v>
      </c>
      <c r="C235" s="98">
        <f t="shared" si="22"/>
        <v>221</v>
      </c>
      <c r="D235" s="122">
        <f t="shared" si="23"/>
        <v>1619558.6081748242</v>
      </c>
      <c r="F235" s="122">
        <f t="shared" si="24"/>
        <v>17830.479145268844</v>
      </c>
      <c r="G235" s="122"/>
      <c r="H235" s="122">
        <f t="shared" si="25"/>
        <v>7033.4217574365903</v>
      </c>
      <c r="I235" s="122"/>
      <c r="J235" s="122">
        <f t="shared" si="26"/>
        <v>10797.057387832254</v>
      </c>
      <c r="K235" s="122">
        <f t="shared" si="27"/>
        <v>1612525.1864173876</v>
      </c>
    </row>
    <row r="236" spans="1:11" x14ac:dyDescent="0.25">
      <c r="A236" s="122"/>
      <c r="B236" s="308">
        <f t="shared" si="21"/>
        <v>19</v>
      </c>
      <c r="C236" s="98">
        <f t="shared" si="22"/>
        <v>222</v>
      </c>
      <c r="D236" s="122">
        <f t="shared" si="23"/>
        <v>1612525.1864173876</v>
      </c>
      <c r="F236" s="122">
        <f t="shared" si="24"/>
        <v>17830.479145268844</v>
      </c>
      <c r="G236" s="122"/>
      <c r="H236" s="122">
        <f t="shared" si="25"/>
        <v>7080.3112358194776</v>
      </c>
      <c r="I236" s="122"/>
      <c r="J236" s="122">
        <f t="shared" si="26"/>
        <v>10750.167909449367</v>
      </c>
      <c r="K236" s="122">
        <f t="shared" si="27"/>
        <v>1605444.8751815681</v>
      </c>
    </row>
    <row r="237" spans="1:11" x14ac:dyDescent="0.25">
      <c r="A237" s="122"/>
      <c r="B237" s="308">
        <f t="shared" si="21"/>
        <v>19</v>
      </c>
      <c r="C237" s="98">
        <f t="shared" si="22"/>
        <v>223</v>
      </c>
      <c r="D237" s="122">
        <f t="shared" si="23"/>
        <v>1605444.8751815681</v>
      </c>
      <c r="F237" s="122">
        <f t="shared" si="24"/>
        <v>17830.479145268844</v>
      </c>
      <c r="G237" s="122"/>
      <c r="H237" s="122">
        <f t="shared" si="25"/>
        <v>7127.5133107251022</v>
      </c>
      <c r="I237" s="122"/>
      <c r="J237" s="122">
        <f t="shared" si="26"/>
        <v>10702.965834543742</v>
      </c>
      <c r="K237" s="122">
        <f t="shared" si="27"/>
        <v>1598317.361870843</v>
      </c>
    </row>
    <row r="238" spans="1:11" x14ac:dyDescent="0.25">
      <c r="A238" s="122"/>
      <c r="B238" s="308">
        <f t="shared" si="21"/>
        <v>19</v>
      </c>
      <c r="C238" s="98">
        <f t="shared" si="22"/>
        <v>224</v>
      </c>
      <c r="D238" s="122">
        <f t="shared" si="23"/>
        <v>1598317.361870843</v>
      </c>
      <c r="F238" s="122">
        <f t="shared" si="24"/>
        <v>17830.479145268844</v>
      </c>
      <c r="G238" s="122"/>
      <c r="H238" s="122">
        <f t="shared" si="25"/>
        <v>7175.0300661297515</v>
      </c>
      <c r="I238" s="122"/>
      <c r="J238" s="122">
        <f t="shared" si="26"/>
        <v>10655.449079139093</v>
      </c>
      <c r="K238" s="122">
        <f t="shared" si="27"/>
        <v>1591142.3318047132</v>
      </c>
    </row>
    <row r="239" spans="1:11" x14ac:dyDescent="0.25">
      <c r="A239" s="122"/>
      <c r="B239" s="308">
        <f t="shared" si="21"/>
        <v>19</v>
      </c>
      <c r="C239" s="98">
        <f t="shared" si="22"/>
        <v>225</v>
      </c>
      <c r="D239" s="122">
        <f t="shared" si="23"/>
        <v>1591142.3318047132</v>
      </c>
      <c r="F239" s="122">
        <f t="shared" si="24"/>
        <v>17830.479145268844</v>
      </c>
      <c r="G239" s="122"/>
      <c r="H239" s="122">
        <f t="shared" si="25"/>
        <v>7222.8635999041144</v>
      </c>
      <c r="I239" s="122"/>
      <c r="J239" s="122">
        <f t="shared" si="26"/>
        <v>10607.61554536473</v>
      </c>
      <c r="K239" s="122">
        <f t="shared" si="27"/>
        <v>1583919.4682048091</v>
      </c>
    </row>
    <row r="240" spans="1:11" x14ac:dyDescent="0.25">
      <c r="A240" s="122"/>
      <c r="B240" s="308">
        <f t="shared" si="21"/>
        <v>19</v>
      </c>
      <c r="C240" s="98">
        <f t="shared" si="22"/>
        <v>226</v>
      </c>
      <c r="D240" s="122">
        <f t="shared" si="23"/>
        <v>1583919.4682048091</v>
      </c>
      <c r="F240" s="122">
        <f t="shared" si="24"/>
        <v>17830.479145268844</v>
      </c>
      <c r="G240" s="122"/>
      <c r="H240" s="122">
        <f t="shared" si="25"/>
        <v>7271.0160239033867</v>
      </c>
      <c r="I240" s="122"/>
      <c r="J240" s="122">
        <f t="shared" si="26"/>
        <v>10559.463121365457</v>
      </c>
      <c r="K240" s="122">
        <f t="shared" si="27"/>
        <v>1576648.4521809057</v>
      </c>
    </row>
    <row r="241" spans="1:11" x14ac:dyDescent="0.25">
      <c r="A241" s="122"/>
      <c r="B241" s="308">
        <f t="shared" si="21"/>
        <v>19</v>
      </c>
      <c r="C241" s="98">
        <f t="shared" si="22"/>
        <v>227</v>
      </c>
      <c r="D241" s="122">
        <f t="shared" si="23"/>
        <v>1576648.4521809057</v>
      </c>
      <c r="F241" s="122">
        <f t="shared" si="24"/>
        <v>17830.479145268844</v>
      </c>
      <c r="G241" s="122"/>
      <c r="H241" s="122">
        <f t="shared" si="25"/>
        <v>7319.4894640627317</v>
      </c>
      <c r="I241" s="122"/>
      <c r="J241" s="122">
        <f t="shared" si="26"/>
        <v>10510.989681206112</v>
      </c>
      <c r="K241" s="122">
        <f t="shared" si="27"/>
        <v>1569328.962716843</v>
      </c>
    </row>
    <row r="242" spans="1:11" x14ac:dyDescent="0.25">
      <c r="A242" s="122"/>
      <c r="B242" s="308">
        <f t="shared" si="21"/>
        <v>19</v>
      </c>
      <c r="C242" s="98">
        <f t="shared" si="22"/>
        <v>228</v>
      </c>
      <c r="D242" s="122">
        <f t="shared" si="23"/>
        <v>1569328.962716843</v>
      </c>
      <c r="F242" s="122">
        <f t="shared" si="24"/>
        <v>17830.479145268844</v>
      </c>
      <c r="G242" s="122"/>
      <c r="H242" s="122">
        <f t="shared" si="25"/>
        <v>7368.2860604897141</v>
      </c>
      <c r="I242" s="122"/>
      <c r="J242" s="122">
        <f t="shared" si="26"/>
        <v>10462.19308477913</v>
      </c>
      <c r="K242" s="122">
        <f t="shared" si="27"/>
        <v>1561960.6766563533</v>
      </c>
    </row>
    <row r="243" spans="1:11" x14ac:dyDescent="0.25">
      <c r="A243" s="122"/>
      <c r="B243" s="308">
        <f t="shared" si="21"/>
        <v>20</v>
      </c>
      <c r="C243" s="98">
        <f t="shared" si="22"/>
        <v>229</v>
      </c>
      <c r="D243" s="122">
        <f t="shared" si="23"/>
        <v>1561960.6766563533</v>
      </c>
      <c r="F243" s="122">
        <f t="shared" si="24"/>
        <v>17830.479145268844</v>
      </c>
      <c r="G243" s="122"/>
      <c r="H243" s="122">
        <f t="shared" si="25"/>
        <v>7417.4079675597604</v>
      </c>
      <c r="I243" s="122"/>
      <c r="J243" s="122">
        <f t="shared" si="26"/>
        <v>10413.071177709084</v>
      </c>
      <c r="K243" s="122">
        <f t="shared" si="27"/>
        <v>1554543.2686887935</v>
      </c>
    </row>
    <row r="244" spans="1:11" x14ac:dyDescent="0.25">
      <c r="A244" s="122"/>
      <c r="B244" s="308">
        <f t="shared" si="21"/>
        <v>20</v>
      </c>
      <c r="C244" s="98">
        <f t="shared" si="22"/>
        <v>230</v>
      </c>
      <c r="D244" s="122">
        <f t="shared" si="23"/>
        <v>1554543.2686887935</v>
      </c>
      <c r="F244" s="122">
        <f t="shared" si="24"/>
        <v>17830.479145268844</v>
      </c>
      <c r="G244" s="122"/>
      <c r="H244" s="122">
        <f t="shared" si="25"/>
        <v>7466.8573540102225</v>
      </c>
      <c r="I244" s="122"/>
      <c r="J244" s="122">
        <f t="shared" si="26"/>
        <v>10363.621791258622</v>
      </c>
      <c r="K244" s="122">
        <f t="shared" si="27"/>
        <v>1547076.4113347833</v>
      </c>
    </row>
    <row r="245" spans="1:11" x14ac:dyDescent="0.25">
      <c r="A245" s="122"/>
      <c r="B245" s="308">
        <f t="shared" si="21"/>
        <v>20</v>
      </c>
      <c r="C245" s="98">
        <f t="shared" si="22"/>
        <v>231</v>
      </c>
      <c r="D245" s="122">
        <f t="shared" si="23"/>
        <v>1547076.4113347833</v>
      </c>
      <c r="F245" s="122">
        <f t="shared" si="24"/>
        <v>17830.479145268844</v>
      </c>
      <c r="G245" s="122"/>
      <c r="H245" s="122">
        <f t="shared" si="25"/>
        <v>7516.6364030370023</v>
      </c>
      <c r="I245" s="122"/>
      <c r="J245" s="122">
        <f t="shared" si="26"/>
        <v>10313.842742231842</v>
      </c>
      <c r="K245" s="122">
        <f t="shared" si="27"/>
        <v>1539559.7749317463</v>
      </c>
    </row>
    <row r="246" spans="1:11" x14ac:dyDescent="0.25">
      <c r="A246" s="122"/>
      <c r="B246" s="308">
        <f t="shared" si="21"/>
        <v>20</v>
      </c>
      <c r="C246" s="98">
        <f t="shared" si="22"/>
        <v>232</v>
      </c>
      <c r="D246" s="122">
        <f t="shared" si="23"/>
        <v>1539559.7749317463</v>
      </c>
      <c r="F246" s="122">
        <f t="shared" si="24"/>
        <v>17830.479145268844</v>
      </c>
      <c r="G246" s="122"/>
      <c r="H246" s="122">
        <f t="shared" si="25"/>
        <v>7566.7473123904783</v>
      </c>
      <c r="I246" s="122"/>
      <c r="J246" s="122">
        <f t="shared" si="26"/>
        <v>10263.731832878366</v>
      </c>
      <c r="K246" s="122">
        <f t="shared" si="27"/>
        <v>1531993.0276193558</v>
      </c>
    </row>
    <row r="247" spans="1:11" x14ac:dyDescent="0.25">
      <c r="A247" s="122"/>
      <c r="B247" s="308">
        <f t="shared" si="21"/>
        <v>20</v>
      </c>
      <c r="C247" s="98">
        <f t="shared" si="22"/>
        <v>233</v>
      </c>
      <c r="D247" s="122">
        <f t="shared" si="23"/>
        <v>1531993.0276193558</v>
      </c>
      <c r="F247" s="122">
        <f t="shared" si="24"/>
        <v>17830.479145268844</v>
      </c>
      <c r="G247" s="122"/>
      <c r="H247" s="122">
        <f t="shared" si="25"/>
        <v>7617.1922944730613</v>
      </c>
      <c r="I247" s="122"/>
      <c r="J247" s="122">
        <f t="shared" si="26"/>
        <v>10213.286850795783</v>
      </c>
      <c r="K247" s="122">
        <f t="shared" si="27"/>
        <v>1524375.8353248828</v>
      </c>
    </row>
    <row r="248" spans="1:11" x14ac:dyDescent="0.25">
      <c r="A248" s="122"/>
      <c r="B248" s="308">
        <f t="shared" si="21"/>
        <v>20</v>
      </c>
      <c r="C248" s="98">
        <f t="shared" si="22"/>
        <v>234</v>
      </c>
      <c r="D248" s="122">
        <f t="shared" si="23"/>
        <v>1524375.8353248828</v>
      </c>
      <c r="F248" s="122">
        <f t="shared" si="24"/>
        <v>17830.479145268844</v>
      </c>
      <c r="G248" s="122"/>
      <c r="H248" s="122">
        <f t="shared" si="25"/>
        <v>7667.9735764362849</v>
      </c>
      <c r="I248" s="122"/>
      <c r="J248" s="122">
        <f t="shared" si="26"/>
        <v>10162.505568832559</v>
      </c>
      <c r="K248" s="122">
        <f t="shared" si="27"/>
        <v>1516707.8617484465</v>
      </c>
    </row>
    <row r="249" spans="1:11" x14ac:dyDescent="0.25">
      <c r="A249" s="122"/>
      <c r="B249" s="308">
        <f t="shared" si="21"/>
        <v>20</v>
      </c>
      <c r="C249" s="98">
        <f t="shared" si="22"/>
        <v>235</v>
      </c>
      <c r="D249" s="122">
        <f t="shared" si="23"/>
        <v>1516707.8617484465</v>
      </c>
      <c r="F249" s="122">
        <f t="shared" si="24"/>
        <v>17830.479145268844</v>
      </c>
      <c r="G249" s="122"/>
      <c r="H249" s="122">
        <f t="shared" si="25"/>
        <v>7719.09340027906</v>
      </c>
      <c r="I249" s="122"/>
      <c r="J249" s="122">
        <f t="shared" si="26"/>
        <v>10111.385744989784</v>
      </c>
      <c r="K249" s="122">
        <f t="shared" si="27"/>
        <v>1508988.7683481674</v>
      </c>
    </row>
    <row r="250" spans="1:11" x14ac:dyDescent="0.25">
      <c r="A250" s="122"/>
      <c r="B250" s="308">
        <f t="shared" si="21"/>
        <v>20</v>
      </c>
      <c r="C250" s="98">
        <f t="shared" si="22"/>
        <v>236</v>
      </c>
      <c r="D250" s="122">
        <f t="shared" si="23"/>
        <v>1508988.7683481674</v>
      </c>
      <c r="F250" s="122">
        <f t="shared" si="24"/>
        <v>17830.479145268844</v>
      </c>
      <c r="G250" s="122"/>
      <c r="H250" s="122">
        <f t="shared" si="25"/>
        <v>7770.5540229475591</v>
      </c>
      <c r="I250" s="122"/>
      <c r="J250" s="122">
        <f t="shared" si="26"/>
        <v>10059.925122321285</v>
      </c>
      <c r="K250" s="122">
        <f t="shared" si="27"/>
        <v>1501218.2143252199</v>
      </c>
    </row>
    <row r="251" spans="1:11" x14ac:dyDescent="0.25">
      <c r="A251" s="122"/>
      <c r="B251" s="308">
        <f t="shared" si="21"/>
        <v>20</v>
      </c>
      <c r="C251" s="98">
        <f t="shared" si="22"/>
        <v>237</v>
      </c>
      <c r="D251" s="122">
        <f t="shared" si="23"/>
        <v>1501218.2143252199</v>
      </c>
      <c r="F251" s="122">
        <f t="shared" si="24"/>
        <v>17830.479145268844</v>
      </c>
      <c r="G251" s="122"/>
      <c r="H251" s="122">
        <f t="shared" si="25"/>
        <v>7822.3577164339367</v>
      </c>
      <c r="I251" s="122"/>
      <c r="J251" s="122">
        <f t="shared" si="26"/>
        <v>10008.121428834907</v>
      </c>
      <c r="K251" s="122">
        <f t="shared" si="27"/>
        <v>1493395.8566087859</v>
      </c>
    </row>
    <row r="252" spans="1:11" x14ac:dyDescent="0.25">
      <c r="A252" s="122"/>
      <c r="B252" s="308">
        <f t="shared" si="21"/>
        <v>20</v>
      </c>
      <c r="C252" s="98">
        <f t="shared" si="22"/>
        <v>238</v>
      </c>
      <c r="D252" s="122">
        <f t="shared" si="23"/>
        <v>1493395.8566087859</v>
      </c>
      <c r="F252" s="122">
        <f t="shared" si="24"/>
        <v>17830.479145268844</v>
      </c>
      <c r="G252" s="122"/>
      <c r="H252" s="122">
        <f t="shared" si="25"/>
        <v>7874.5067678769119</v>
      </c>
      <c r="I252" s="122"/>
      <c r="J252" s="122">
        <f t="shared" si="26"/>
        <v>9955.9723773919322</v>
      </c>
      <c r="K252" s="122">
        <f t="shared" si="27"/>
        <v>1485521.349840909</v>
      </c>
    </row>
    <row r="253" spans="1:11" x14ac:dyDescent="0.25">
      <c r="A253" s="122"/>
      <c r="B253" s="308">
        <f t="shared" si="21"/>
        <v>20</v>
      </c>
      <c r="C253" s="98">
        <f t="shared" si="22"/>
        <v>239</v>
      </c>
      <c r="D253" s="122">
        <f t="shared" si="23"/>
        <v>1485521.349840909</v>
      </c>
      <c r="F253" s="122">
        <f t="shared" si="24"/>
        <v>17830.479145268844</v>
      </c>
      <c r="G253" s="122"/>
      <c r="H253" s="122">
        <f t="shared" si="25"/>
        <v>7927.003479662817</v>
      </c>
      <c r="I253" s="122"/>
      <c r="J253" s="122">
        <f t="shared" si="26"/>
        <v>9903.4756656060272</v>
      </c>
      <c r="K253" s="122">
        <f t="shared" si="27"/>
        <v>1477594.3463612462</v>
      </c>
    </row>
    <row r="254" spans="1:11" x14ac:dyDescent="0.25">
      <c r="A254" s="122"/>
      <c r="B254" s="308">
        <f t="shared" si="21"/>
        <v>20</v>
      </c>
      <c r="C254" s="98">
        <f t="shared" si="22"/>
        <v>240</v>
      </c>
      <c r="D254" s="122">
        <f t="shared" si="23"/>
        <v>1477594.3463612462</v>
      </c>
      <c r="F254" s="122">
        <f t="shared" si="24"/>
        <v>17830.479145268844</v>
      </c>
      <c r="G254" s="122"/>
      <c r="H254" s="122">
        <f t="shared" si="25"/>
        <v>7979.8501695271116</v>
      </c>
      <c r="I254" s="122"/>
      <c r="J254" s="122">
        <f t="shared" si="26"/>
        <v>9850.6289757417326</v>
      </c>
      <c r="K254" s="122">
        <f t="shared" si="27"/>
        <v>1469614.4961917191</v>
      </c>
    </row>
    <row r="255" spans="1:11" x14ac:dyDescent="0.25">
      <c r="A255" s="122"/>
      <c r="B255" s="308">
        <f t="shared" si="21"/>
        <v>21</v>
      </c>
      <c r="C255" s="98">
        <f t="shared" si="22"/>
        <v>241</v>
      </c>
      <c r="D255" s="122">
        <f t="shared" si="23"/>
        <v>1469614.4961917191</v>
      </c>
      <c r="F255" s="122">
        <f t="shared" si="24"/>
        <v>17830.479145268844</v>
      </c>
      <c r="G255" s="122"/>
      <c r="H255" s="122">
        <f t="shared" si="25"/>
        <v>8033.0491706572939</v>
      </c>
      <c r="I255" s="122"/>
      <c r="J255" s="122">
        <f t="shared" si="26"/>
        <v>9797.4299746115503</v>
      </c>
      <c r="K255" s="122">
        <f t="shared" si="27"/>
        <v>1461581.4470210618</v>
      </c>
    </row>
    <row r="256" spans="1:11" x14ac:dyDescent="0.25">
      <c r="A256" s="122"/>
      <c r="B256" s="308">
        <f t="shared" si="21"/>
        <v>21</v>
      </c>
      <c r="C256" s="98">
        <f t="shared" si="22"/>
        <v>242</v>
      </c>
      <c r="D256" s="122">
        <f t="shared" si="23"/>
        <v>1461581.4470210618</v>
      </c>
      <c r="F256" s="122">
        <f t="shared" si="24"/>
        <v>17830.479145268844</v>
      </c>
      <c r="G256" s="122"/>
      <c r="H256" s="122">
        <f t="shared" si="25"/>
        <v>8086.6028317951132</v>
      </c>
      <c r="I256" s="122"/>
      <c r="J256" s="122">
        <f t="shared" si="26"/>
        <v>9743.876313473731</v>
      </c>
      <c r="K256" s="122">
        <f t="shared" si="27"/>
        <v>1453494.8441892667</v>
      </c>
    </row>
    <row r="257" spans="1:11" x14ac:dyDescent="0.25">
      <c r="A257" s="122"/>
      <c r="B257" s="308">
        <f t="shared" si="21"/>
        <v>21</v>
      </c>
      <c r="C257" s="98">
        <f t="shared" si="22"/>
        <v>243</v>
      </c>
      <c r="D257" s="122">
        <f t="shared" si="23"/>
        <v>1453494.8441892667</v>
      </c>
      <c r="F257" s="122">
        <f t="shared" si="24"/>
        <v>17830.479145268844</v>
      </c>
      <c r="G257" s="122"/>
      <c r="H257" s="122">
        <f t="shared" si="25"/>
        <v>8140.5135173404124</v>
      </c>
      <c r="I257" s="122"/>
      <c r="J257" s="122">
        <f t="shared" si="26"/>
        <v>9689.9656279284318</v>
      </c>
      <c r="K257" s="122">
        <f t="shared" si="27"/>
        <v>1445354.3306719263</v>
      </c>
    </row>
    <row r="258" spans="1:11" x14ac:dyDescent="0.25">
      <c r="A258" s="122"/>
      <c r="B258" s="308">
        <f t="shared" si="21"/>
        <v>21</v>
      </c>
      <c r="C258" s="98">
        <f t="shared" si="22"/>
        <v>244</v>
      </c>
      <c r="D258" s="122">
        <f t="shared" si="23"/>
        <v>1445354.3306719263</v>
      </c>
      <c r="F258" s="122">
        <f t="shared" si="24"/>
        <v>17830.479145268844</v>
      </c>
      <c r="G258" s="122"/>
      <c r="H258" s="122">
        <f t="shared" si="25"/>
        <v>8194.7836074559018</v>
      </c>
      <c r="I258" s="122"/>
      <c r="J258" s="122">
        <f t="shared" si="26"/>
        <v>9635.6955378129423</v>
      </c>
      <c r="K258" s="122">
        <f t="shared" si="27"/>
        <v>1437159.5470644704</v>
      </c>
    </row>
    <row r="259" spans="1:11" x14ac:dyDescent="0.25">
      <c r="A259" s="122"/>
      <c r="B259" s="308">
        <f t="shared" si="21"/>
        <v>21</v>
      </c>
      <c r="C259" s="98">
        <f t="shared" si="22"/>
        <v>245</v>
      </c>
      <c r="D259" s="122">
        <f t="shared" si="23"/>
        <v>1437159.5470644704</v>
      </c>
      <c r="F259" s="122">
        <f t="shared" si="24"/>
        <v>17830.479145268844</v>
      </c>
      <c r="G259" s="122"/>
      <c r="H259" s="122">
        <f t="shared" si="25"/>
        <v>8249.4154981723987</v>
      </c>
      <c r="I259" s="122"/>
      <c r="J259" s="122">
        <f t="shared" si="26"/>
        <v>9581.0636470964455</v>
      </c>
      <c r="K259" s="122">
        <f t="shared" si="27"/>
        <v>1428910.131566298</v>
      </c>
    </row>
    <row r="260" spans="1:11" x14ac:dyDescent="0.25">
      <c r="A260" s="122"/>
      <c r="B260" s="308">
        <f t="shared" si="21"/>
        <v>21</v>
      </c>
      <c r="C260" s="98">
        <f t="shared" si="22"/>
        <v>246</v>
      </c>
      <c r="D260" s="122">
        <f t="shared" si="23"/>
        <v>1428910.131566298</v>
      </c>
      <c r="F260" s="122">
        <f t="shared" si="24"/>
        <v>17830.479145268844</v>
      </c>
      <c r="G260" s="122"/>
      <c r="H260" s="122">
        <f t="shared" si="25"/>
        <v>8304.4116014933679</v>
      </c>
      <c r="I260" s="122"/>
      <c r="J260" s="122">
        <f t="shared" si="26"/>
        <v>9526.0675437754762</v>
      </c>
      <c r="K260" s="122">
        <f t="shared" si="27"/>
        <v>1420605.7199648046</v>
      </c>
    </row>
    <row r="261" spans="1:11" x14ac:dyDescent="0.25">
      <c r="A261" s="122"/>
      <c r="B261" s="308">
        <f t="shared" si="21"/>
        <v>21</v>
      </c>
      <c r="C261" s="98">
        <f t="shared" si="22"/>
        <v>247</v>
      </c>
      <c r="D261" s="122">
        <f t="shared" si="23"/>
        <v>1420605.7199648046</v>
      </c>
      <c r="F261" s="122">
        <f t="shared" si="24"/>
        <v>17830.479145268844</v>
      </c>
      <c r="G261" s="122"/>
      <c r="H261" s="122">
        <f t="shared" si="25"/>
        <v>8359.7743455034215</v>
      </c>
      <c r="I261" s="122"/>
      <c r="J261" s="122">
        <f t="shared" si="26"/>
        <v>9470.7047997654226</v>
      </c>
      <c r="K261" s="122">
        <f t="shared" si="27"/>
        <v>1412245.9456193012</v>
      </c>
    </row>
    <row r="262" spans="1:11" x14ac:dyDescent="0.25">
      <c r="A262" s="122"/>
      <c r="B262" s="308">
        <f t="shared" si="21"/>
        <v>21</v>
      </c>
      <c r="C262" s="98">
        <f t="shared" si="22"/>
        <v>248</v>
      </c>
      <c r="D262" s="122">
        <f t="shared" si="23"/>
        <v>1412245.9456193012</v>
      </c>
      <c r="F262" s="122">
        <f t="shared" si="24"/>
        <v>17830.479145268844</v>
      </c>
      <c r="G262" s="122"/>
      <c r="H262" s="122">
        <f t="shared" si="25"/>
        <v>8415.5061744733248</v>
      </c>
      <c r="I262" s="122"/>
      <c r="J262" s="122">
        <f t="shared" si="26"/>
        <v>9414.9729707955194</v>
      </c>
      <c r="K262" s="122">
        <f t="shared" si="27"/>
        <v>1403830.4394448278</v>
      </c>
    </row>
    <row r="263" spans="1:11" x14ac:dyDescent="0.25">
      <c r="A263" s="122"/>
      <c r="B263" s="308">
        <f t="shared" si="21"/>
        <v>21</v>
      </c>
      <c r="C263" s="98">
        <f t="shared" si="22"/>
        <v>249</v>
      </c>
      <c r="D263" s="122">
        <f t="shared" si="23"/>
        <v>1403830.4394448278</v>
      </c>
      <c r="F263" s="122">
        <f t="shared" si="24"/>
        <v>17830.479145268844</v>
      </c>
      <c r="G263" s="122"/>
      <c r="H263" s="122">
        <f t="shared" si="25"/>
        <v>8471.6095489698928</v>
      </c>
      <c r="I263" s="122"/>
      <c r="J263" s="122">
        <f t="shared" si="26"/>
        <v>9358.8695962989514</v>
      </c>
      <c r="K263" s="122">
        <f t="shared" si="27"/>
        <v>1395358.829895858</v>
      </c>
    </row>
    <row r="264" spans="1:11" x14ac:dyDescent="0.25">
      <c r="A264" s="122"/>
      <c r="B264" s="308">
        <f t="shared" si="21"/>
        <v>21</v>
      </c>
      <c r="C264" s="98">
        <f t="shared" si="22"/>
        <v>250</v>
      </c>
      <c r="D264" s="122">
        <f t="shared" si="23"/>
        <v>1395358.829895858</v>
      </c>
      <c r="F264" s="122">
        <f t="shared" si="24"/>
        <v>17830.479145268844</v>
      </c>
      <c r="G264" s="122"/>
      <c r="H264" s="122">
        <f t="shared" si="25"/>
        <v>8528.0869459630921</v>
      </c>
      <c r="I264" s="122"/>
      <c r="J264" s="122">
        <f t="shared" si="26"/>
        <v>9302.392199305752</v>
      </c>
      <c r="K264" s="122">
        <f t="shared" si="27"/>
        <v>1386830.7429498949</v>
      </c>
    </row>
    <row r="265" spans="1:11" x14ac:dyDescent="0.25">
      <c r="A265" s="122"/>
      <c r="B265" s="308">
        <f t="shared" si="21"/>
        <v>21</v>
      </c>
      <c r="C265" s="98">
        <f t="shared" si="22"/>
        <v>251</v>
      </c>
      <c r="D265" s="122">
        <f t="shared" si="23"/>
        <v>1386830.7429498949</v>
      </c>
      <c r="F265" s="122">
        <f t="shared" si="24"/>
        <v>17830.479145268844</v>
      </c>
      <c r="G265" s="122"/>
      <c r="H265" s="122">
        <f t="shared" si="25"/>
        <v>8584.9408589361701</v>
      </c>
      <c r="I265" s="122"/>
      <c r="J265" s="122">
        <f t="shared" si="26"/>
        <v>9245.538286332674</v>
      </c>
      <c r="K265" s="122">
        <f t="shared" si="27"/>
        <v>1378245.8020909587</v>
      </c>
    </row>
    <row r="266" spans="1:11" x14ac:dyDescent="0.25">
      <c r="A266" s="122"/>
      <c r="B266" s="308">
        <f t="shared" si="21"/>
        <v>21</v>
      </c>
      <c r="C266" s="98">
        <f t="shared" si="22"/>
        <v>252</v>
      </c>
      <c r="D266" s="122">
        <f t="shared" si="23"/>
        <v>1378245.8020909587</v>
      </c>
      <c r="F266" s="122">
        <f t="shared" si="24"/>
        <v>17830.479145268844</v>
      </c>
      <c r="G266" s="122"/>
      <c r="H266" s="122">
        <f t="shared" si="25"/>
        <v>8642.1737979957834</v>
      </c>
      <c r="I266" s="122"/>
      <c r="J266" s="122">
        <f t="shared" si="26"/>
        <v>9188.3053472730608</v>
      </c>
      <c r="K266" s="122">
        <f t="shared" si="27"/>
        <v>1369603.6282929629</v>
      </c>
    </row>
    <row r="267" spans="1:11" x14ac:dyDescent="0.25">
      <c r="A267" s="122"/>
      <c r="B267" s="308">
        <f t="shared" si="21"/>
        <v>22</v>
      </c>
      <c r="C267" s="98">
        <f t="shared" si="22"/>
        <v>253</v>
      </c>
      <c r="D267" s="122">
        <f t="shared" si="23"/>
        <v>1369603.6282929629</v>
      </c>
      <c r="F267" s="122">
        <f t="shared" si="24"/>
        <v>17830.479145268844</v>
      </c>
      <c r="G267" s="122"/>
      <c r="H267" s="122">
        <f t="shared" si="25"/>
        <v>8699.7882899823599</v>
      </c>
      <c r="I267" s="122"/>
      <c r="J267" s="122">
        <f t="shared" si="26"/>
        <v>9130.6908552864843</v>
      </c>
      <c r="K267" s="122">
        <f t="shared" si="27"/>
        <v>1360903.8400029805</v>
      </c>
    </row>
    <row r="268" spans="1:11" x14ac:dyDescent="0.25">
      <c r="A268" s="122"/>
      <c r="B268" s="308">
        <f t="shared" si="21"/>
        <v>22</v>
      </c>
      <c r="C268" s="98">
        <f t="shared" si="22"/>
        <v>254</v>
      </c>
      <c r="D268" s="122">
        <f t="shared" si="23"/>
        <v>1360903.8400029805</v>
      </c>
      <c r="F268" s="122">
        <f t="shared" si="24"/>
        <v>17830.479145268844</v>
      </c>
      <c r="G268" s="122"/>
      <c r="H268" s="122">
        <f t="shared" si="25"/>
        <v>8757.786878582323</v>
      </c>
      <c r="I268" s="122"/>
      <c r="J268" s="122">
        <f t="shared" si="26"/>
        <v>9072.6922666865212</v>
      </c>
      <c r="K268" s="122">
        <f t="shared" si="27"/>
        <v>1352146.0531243982</v>
      </c>
    </row>
    <row r="269" spans="1:11" x14ac:dyDescent="0.25">
      <c r="A269" s="122"/>
      <c r="B269" s="308">
        <f t="shared" si="21"/>
        <v>22</v>
      </c>
      <c r="C269" s="98">
        <f t="shared" si="22"/>
        <v>255</v>
      </c>
      <c r="D269" s="122">
        <f t="shared" si="23"/>
        <v>1352146.0531243982</v>
      </c>
      <c r="F269" s="122">
        <f t="shared" si="24"/>
        <v>17830.479145268844</v>
      </c>
      <c r="G269" s="122"/>
      <c r="H269" s="122">
        <f t="shared" si="25"/>
        <v>8816.1721244393848</v>
      </c>
      <c r="I269" s="122"/>
      <c r="J269" s="122">
        <f t="shared" si="26"/>
        <v>9014.3070208294594</v>
      </c>
      <c r="K269" s="122">
        <f t="shared" si="27"/>
        <v>1343329.8809999588</v>
      </c>
    </row>
    <row r="270" spans="1:11" x14ac:dyDescent="0.25">
      <c r="A270" s="122"/>
      <c r="B270" s="308">
        <f t="shared" si="21"/>
        <v>22</v>
      </c>
      <c r="C270" s="98">
        <f t="shared" si="22"/>
        <v>256</v>
      </c>
      <c r="D270" s="122">
        <f t="shared" si="23"/>
        <v>1343329.8809999588</v>
      </c>
      <c r="F270" s="122">
        <f t="shared" si="24"/>
        <v>17830.479145268844</v>
      </c>
      <c r="G270" s="122"/>
      <c r="H270" s="122">
        <f t="shared" si="25"/>
        <v>8874.9466052690987</v>
      </c>
      <c r="I270" s="122"/>
      <c r="J270" s="122">
        <f t="shared" si="26"/>
        <v>8955.5325399997455</v>
      </c>
      <c r="K270" s="122">
        <f t="shared" si="27"/>
        <v>1334454.9343946897</v>
      </c>
    </row>
    <row r="271" spans="1:11" x14ac:dyDescent="0.25">
      <c r="A271" s="122"/>
      <c r="B271" s="308">
        <f t="shared" si="21"/>
        <v>22</v>
      </c>
      <c r="C271" s="98">
        <f t="shared" si="22"/>
        <v>257</v>
      </c>
      <c r="D271" s="122">
        <f t="shared" si="23"/>
        <v>1334454.9343946897</v>
      </c>
      <c r="F271" s="122">
        <f t="shared" si="24"/>
        <v>17830.479145268844</v>
      </c>
      <c r="G271" s="122"/>
      <c r="H271" s="122">
        <f t="shared" si="25"/>
        <v>8934.1129159708507</v>
      </c>
      <c r="I271" s="122"/>
      <c r="J271" s="122">
        <f t="shared" si="26"/>
        <v>8896.3662292979934</v>
      </c>
      <c r="K271" s="122">
        <f t="shared" si="27"/>
        <v>1325520.8214787189</v>
      </c>
    </row>
    <row r="272" spans="1:11" x14ac:dyDescent="0.25">
      <c r="A272" s="122"/>
      <c r="B272" s="308">
        <f t="shared" ref="B272:B335" si="28">ROUNDUP(C272/12,0)</f>
        <v>22</v>
      </c>
      <c r="C272" s="98">
        <f t="shared" ref="C272:C335" si="29">C271+1</f>
        <v>258</v>
      </c>
      <c r="D272" s="122">
        <f t="shared" ref="D272:D335" si="30">IF(C272&gt;$H$8+$M$7,0,K271)</f>
        <v>1325520.8214787189</v>
      </c>
      <c r="F272" s="122">
        <f t="shared" ref="F272:F335" si="31">-IF(AND($M$6&gt;0,C272&lt;=$M$7),-$F$10*$F$6,PMT($F$10,$H$8,$F$6,,0))*IF(C272&gt;$H$8+$M$7,0,1)</f>
        <v>17830.479145268844</v>
      </c>
      <c r="G272" s="122"/>
      <c r="H272" s="122">
        <f t="shared" ref="H272:H335" si="32">IF(AND($M$6&gt;0,C272&lt;=$M$7),0,D272-K272)</f>
        <v>8993.6736687440425</v>
      </c>
      <c r="I272" s="122"/>
      <c r="J272" s="122">
        <f t="shared" ref="J272:J335" si="33">F272-H272</f>
        <v>8836.8054765248016</v>
      </c>
      <c r="K272" s="122">
        <f t="shared" ref="K272:K335" si="34">-FV($F$10,1,-F272,D272)</f>
        <v>1316527.1478099748</v>
      </c>
    </row>
    <row r="273" spans="1:11" x14ac:dyDescent="0.25">
      <c r="A273" s="122"/>
      <c r="B273" s="308">
        <f t="shared" si="28"/>
        <v>22</v>
      </c>
      <c r="C273" s="98">
        <f t="shared" si="29"/>
        <v>259</v>
      </c>
      <c r="D273" s="122">
        <f t="shared" si="30"/>
        <v>1316527.1478099748</v>
      </c>
      <c r="F273" s="122">
        <f t="shared" si="31"/>
        <v>17830.479145268844</v>
      </c>
      <c r="G273" s="122"/>
      <c r="H273" s="122">
        <f t="shared" si="32"/>
        <v>9053.6314932021778</v>
      </c>
      <c r="I273" s="122"/>
      <c r="J273" s="122">
        <f t="shared" si="33"/>
        <v>8776.8476520666663</v>
      </c>
      <c r="K273" s="122">
        <f t="shared" si="34"/>
        <v>1307473.5163167727</v>
      </c>
    </row>
    <row r="274" spans="1:11" x14ac:dyDescent="0.25">
      <c r="A274" s="122"/>
      <c r="B274" s="308">
        <f t="shared" si="28"/>
        <v>22</v>
      </c>
      <c r="C274" s="98">
        <f t="shared" si="29"/>
        <v>260</v>
      </c>
      <c r="D274" s="122">
        <f t="shared" si="30"/>
        <v>1307473.5163167727</v>
      </c>
      <c r="F274" s="122">
        <f t="shared" si="31"/>
        <v>17830.479145268844</v>
      </c>
      <c r="G274" s="122"/>
      <c r="H274" s="122">
        <f t="shared" si="32"/>
        <v>9113.9890364902094</v>
      </c>
      <c r="I274" s="122"/>
      <c r="J274" s="122">
        <f t="shared" si="33"/>
        <v>8716.4901087786347</v>
      </c>
      <c r="K274" s="122">
        <f t="shared" si="34"/>
        <v>1298359.5272802825</v>
      </c>
    </row>
    <row r="275" spans="1:11" x14ac:dyDescent="0.25">
      <c r="A275" s="122"/>
      <c r="B275" s="308">
        <f t="shared" si="28"/>
        <v>22</v>
      </c>
      <c r="C275" s="98">
        <f t="shared" si="29"/>
        <v>261</v>
      </c>
      <c r="D275" s="122">
        <f t="shared" si="30"/>
        <v>1298359.5272802825</v>
      </c>
      <c r="F275" s="122">
        <f t="shared" si="31"/>
        <v>17830.479145268844</v>
      </c>
      <c r="G275" s="122"/>
      <c r="H275" s="122">
        <f t="shared" si="32"/>
        <v>9174.7489634002559</v>
      </c>
      <c r="I275" s="122"/>
      <c r="J275" s="122">
        <f t="shared" si="33"/>
        <v>8655.7301818685883</v>
      </c>
      <c r="K275" s="122">
        <f t="shared" si="34"/>
        <v>1289184.7783168822</v>
      </c>
    </row>
    <row r="276" spans="1:11" x14ac:dyDescent="0.25">
      <c r="A276" s="122"/>
      <c r="B276" s="308">
        <f t="shared" si="28"/>
        <v>22</v>
      </c>
      <c r="C276" s="98">
        <f t="shared" si="29"/>
        <v>262</v>
      </c>
      <c r="D276" s="122">
        <f t="shared" si="30"/>
        <v>1289184.7783168822</v>
      </c>
      <c r="F276" s="122">
        <f t="shared" si="31"/>
        <v>17830.479145268844</v>
      </c>
      <c r="G276" s="122"/>
      <c r="H276" s="122">
        <f t="shared" si="32"/>
        <v>9235.9139564896468</v>
      </c>
      <c r="I276" s="122"/>
      <c r="J276" s="122">
        <f t="shared" si="33"/>
        <v>8594.5651887791973</v>
      </c>
      <c r="K276" s="122">
        <f t="shared" si="34"/>
        <v>1279948.8643603926</v>
      </c>
    </row>
    <row r="277" spans="1:11" x14ac:dyDescent="0.25">
      <c r="A277" s="122"/>
      <c r="B277" s="308">
        <f t="shared" si="28"/>
        <v>22</v>
      </c>
      <c r="C277" s="98">
        <f t="shared" si="29"/>
        <v>263</v>
      </c>
      <c r="D277" s="122">
        <f t="shared" si="30"/>
        <v>1279948.8643603926</v>
      </c>
      <c r="F277" s="122">
        <f t="shared" si="31"/>
        <v>17830.479145268844</v>
      </c>
      <c r="G277" s="122"/>
      <c r="H277" s="122">
        <f t="shared" si="32"/>
        <v>9297.4867161994334</v>
      </c>
      <c r="I277" s="122"/>
      <c r="J277" s="122">
        <f t="shared" si="33"/>
        <v>8532.9924290694107</v>
      </c>
      <c r="K277" s="122">
        <f t="shared" si="34"/>
        <v>1270651.3776441931</v>
      </c>
    </row>
    <row r="278" spans="1:11" x14ac:dyDescent="0.25">
      <c r="A278" s="122"/>
      <c r="B278" s="308">
        <f t="shared" si="28"/>
        <v>22</v>
      </c>
      <c r="C278" s="98">
        <f t="shared" si="29"/>
        <v>264</v>
      </c>
      <c r="D278" s="122">
        <f t="shared" si="30"/>
        <v>1270651.3776441931</v>
      </c>
      <c r="F278" s="122">
        <f t="shared" si="31"/>
        <v>17830.479145268844</v>
      </c>
      <c r="G278" s="122"/>
      <c r="H278" s="122">
        <f t="shared" si="32"/>
        <v>9359.4699609740637</v>
      </c>
      <c r="I278" s="122"/>
      <c r="J278" s="122">
        <f t="shared" si="33"/>
        <v>8471.0091842947804</v>
      </c>
      <c r="K278" s="122">
        <f t="shared" si="34"/>
        <v>1261291.9076832191</v>
      </c>
    </row>
    <row r="279" spans="1:11" x14ac:dyDescent="0.25">
      <c r="A279" s="122"/>
      <c r="B279" s="308">
        <f t="shared" si="28"/>
        <v>23</v>
      </c>
      <c r="C279" s="98">
        <f t="shared" si="29"/>
        <v>265</v>
      </c>
      <c r="D279" s="122">
        <f t="shared" si="30"/>
        <v>1261291.9076832191</v>
      </c>
      <c r="F279" s="122">
        <f t="shared" si="31"/>
        <v>17830.479145268844</v>
      </c>
      <c r="G279" s="122"/>
      <c r="H279" s="122">
        <f t="shared" si="32"/>
        <v>9421.8664273805916</v>
      </c>
      <c r="I279" s="122"/>
      <c r="J279" s="122">
        <f t="shared" si="33"/>
        <v>8408.6127178882525</v>
      </c>
      <c r="K279" s="122">
        <f t="shared" si="34"/>
        <v>1251870.0412558385</v>
      </c>
    </row>
    <row r="280" spans="1:11" x14ac:dyDescent="0.25">
      <c r="A280" s="122"/>
      <c r="B280" s="308">
        <f t="shared" si="28"/>
        <v>23</v>
      </c>
      <c r="C280" s="98">
        <f t="shared" si="29"/>
        <v>266</v>
      </c>
      <c r="D280" s="122">
        <f t="shared" si="30"/>
        <v>1251870.0412558385</v>
      </c>
      <c r="F280" s="122">
        <f t="shared" si="31"/>
        <v>17830.479145268844</v>
      </c>
      <c r="G280" s="122"/>
      <c r="H280" s="122">
        <f t="shared" si="32"/>
        <v>9484.678870229749</v>
      </c>
      <c r="I280" s="122"/>
      <c r="J280" s="122">
        <f t="shared" si="33"/>
        <v>8345.8002750390951</v>
      </c>
      <c r="K280" s="122">
        <f t="shared" si="34"/>
        <v>1242385.3623856087</v>
      </c>
    </row>
    <row r="281" spans="1:11" x14ac:dyDescent="0.25">
      <c r="A281" s="122"/>
      <c r="B281" s="308">
        <f t="shared" si="28"/>
        <v>23</v>
      </c>
      <c r="C281" s="98">
        <f t="shared" si="29"/>
        <v>267</v>
      </c>
      <c r="D281" s="122">
        <f t="shared" si="30"/>
        <v>1242385.3623856087</v>
      </c>
      <c r="F281" s="122">
        <f t="shared" si="31"/>
        <v>17830.479145268844</v>
      </c>
      <c r="G281" s="122"/>
      <c r="H281" s="122">
        <f t="shared" si="32"/>
        <v>9547.9100626979489</v>
      </c>
      <c r="I281" s="122"/>
      <c r="J281" s="122">
        <f t="shared" si="33"/>
        <v>8282.5690825708953</v>
      </c>
      <c r="K281" s="122">
        <f t="shared" si="34"/>
        <v>1232837.4523229108</v>
      </c>
    </row>
    <row r="282" spans="1:11" x14ac:dyDescent="0.25">
      <c r="A282" s="122"/>
      <c r="B282" s="308">
        <f t="shared" si="28"/>
        <v>23</v>
      </c>
      <c r="C282" s="98">
        <f t="shared" si="29"/>
        <v>268</v>
      </c>
      <c r="D282" s="122">
        <f t="shared" si="30"/>
        <v>1232837.4523229108</v>
      </c>
      <c r="F282" s="122">
        <f t="shared" si="31"/>
        <v>17830.479145268844</v>
      </c>
      <c r="G282" s="122"/>
      <c r="H282" s="122">
        <f t="shared" si="32"/>
        <v>9611.5627964492887</v>
      </c>
      <c r="I282" s="122"/>
      <c r="J282" s="122">
        <f t="shared" si="33"/>
        <v>8218.9163488195554</v>
      </c>
      <c r="K282" s="122">
        <f t="shared" si="34"/>
        <v>1223225.8895264615</v>
      </c>
    </row>
    <row r="283" spans="1:11" x14ac:dyDescent="0.25">
      <c r="A283" s="122"/>
      <c r="B283" s="308">
        <f t="shared" si="28"/>
        <v>23</v>
      </c>
      <c r="C283" s="98">
        <f t="shared" si="29"/>
        <v>269</v>
      </c>
      <c r="D283" s="122">
        <f t="shared" si="30"/>
        <v>1223225.8895264615</v>
      </c>
      <c r="F283" s="122">
        <f t="shared" si="31"/>
        <v>17830.479145268844</v>
      </c>
      <c r="G283" s="122"/>
      <c r="H283" s="122">
        <f t="shared" si="32"/>
        <v>9675.6398817589507</v>
      </c>
      <c r="I283" s="122"/>
      <c r="J283" s="122">
        <f t="shared" si="33"/>
        <v>8154.8392635098935</v>
      </c>
      <c r="K283" s="122">
        <f t="shared" si="34"/>
        <v>1213550.2496447025</v>
      </c>
    </row>
    <row r="284" spans="1:11" x14ac:dyDescent="0.25">
      <c r="A284" s="122"/>
      <c r="B284" s="308">
        <f t="shared" si="28"/>
        <v>23</v>
      </c>
      <c r="C284" s="98">
        <f t="shared" si="29"/>
        <v>270</v>
      </c>
      <c r="D284" s="122">
        <f t="shared" si="30"/>
        <v>1213550.2496447025</v>
      </c>
      <c r="F284" s="122">
        <f t="shared" si="31"/>
        <v>17830.479145268844</v>
      </c>
      <c r="G284" s="122"/>
      <c r="H284" s="122">
        <f t="shared" si="32"/>
        <v>9740.1441476373002</v>
      </c>
      <c r="I284" s="122"/>
      <c r="J284" s="122">
        <f t="shared" si="33"/>
        <v>8090.334997631544</v>
      </c>
      <c r="K284" s="122">
        <f t="shared" si="34"/>
        <v>1203810.1054970652</v>
      </c>
    </row>
    <row r="285" spans="1:11" x14ac:dyDescent="0.25">
      <c r="A285" s="122"/>
      <c r="B285" s="308">
        <f t="shared" si="28"/>
        <v>23</v>
      </c>
      <c r="C285" s="98">
        <f t="shared" si="29"/>
        <v>271</v>
      </c>
      <c r="D285" s="122">
        <f t="shared" si="30"/>
        <v>1203810.1054970652</v>
      </c>
      <c r="F285" s="122">
        <f t="shared" si="31"/>
        <v>17830.479145268844</v>
      </c>
      <c r="G285" s="122"/>
      <c r="H285" s="122">
        <f t="shared" si="32"/>
        <v>9805.0784419549163</v>
      </c>
      <c r="I285" s="122"/>
      <c r="J285" s="122">
        <f t="shared" si="33"/>
        <v>8025.4007033139278</v>
      </c>
      <c r="K285" s="122">
        <f t="shared" si="34"/>
        <v>1194005.0270551103</v>
      </c>
    </row>
    <row r="286" spans="1:11" x14ac:dyDescent="0.25">
      <c r="A286" s="122"/>
      <c r="B286" s="308">
        <f t="shared" si="28"/>
        <v>23</v>
      </c>
      <c r="C286" s="98">
        <f t="shared" si="29"/>
        <v>272</v>
      </c>
      <c r="D286" s="122">
        <f t="shared" si="30"/>
        <v>1194005.0270551103</v>
      </c>
      <c r="F286" s="122">
        <f t="shared" si="31"/>
        <v>17830.479145268844</v>
      </c>
      <c r="G286" s="122"/>
      <c r="H286" s="122">
        <f t="shared" si="32"/>
        <v>9870.4456315680873</v>
      </c>
      <c r="I286" s="122"/>
      <c r="J286" s="122">
        <f t="shared" si="33"/>
        <v>7960.0335137007569</v>
      </c>
      <c r="K286" s="122">
        <f t="shared" si="34"/>
        <v>1184134.5814235422</v>
      </c>
    </row>
    <row r="287" spans="1:11" x14ac:dyDescent="0.25">
      <c r="A287" s="122"/>
      <c r="B287" s="308">
        <f t="shared" si="28"/>
        <v>23</v>
      </c>
      <c r="C287" s="98">
        <f t="shared" si="29"/>
        <v>273</v>
      </c>
      <c r="D287" s="122">
        <f t="shared" si="30"/>
        <v>1184134.5814235422</v>
      </c>
      <c r="F287" s="122">
        <f t="shared" si="31"/>
        <v>17830.479145268844</v>
      </c>
      <c r="G287" s="122"/>
      <c r="H287" s="122">
        <f t="shared" si="32"/>
        <v>9936.2486024452373</v>
      </c>
      <c r="I287" s="122"/>
      <c r="J287" s="122">
        <f t="shared" si="33"/>
        <v>7894.2305428236068</v>
      </c>
      <c r="K287" s="122">
        <f t="shared" si="34"/>
        <v>1174198.332821097</v>
      </c>
    </row>
    <row r="288" spans="1:11" x14ac:dyDescent="0.25">
      <c r="A288" s="122"/>
      <c r="B288" s="308">
        <f t="shared" si="28"/>
        <v>23</v>
      </c>
      <c r="C288" s="98">
        <f t="shared" si="29"/>
        <v>274</v>
      </c>
      <c r="D288" s="122">
        <f t="shared" si="30"/>
        <v>1174198.332821097</v>
      </c>
      <c r="F288" s="122">
        <f t="shared" si="31"/>
        <v>17830.479145268844</v>
      </c>
      <c r="G288" s="122"/>
      <c r="H288" s="122">
        <f t="shared" si="32"/>
        <v>10002.490259794751</v>
      </c>
      <c r="I288" s="122"/>
      <c r="J288" s="122">
        <f t="shared" si="33"/>
        <v>7827.988885474093</v>
      </c>
      <c r="K288" s="122">
        <f t="shared" si="34"/>
        <v>1164195.8425613022</v>
      </c>
    </row>
    <row r="289" spans="1:11" x14ac:dyDescent="0.25">
      <c r="A289" s="122"/>
      <c r="B289" s="308">
        <f t="shared" si="28"/>
        <v>23</v>
      </c>
      <c r="C289" s="98">
        <f t="shared" si="29"/>
        <v>275</v>
      </c>
      <c r="D289" s="122">
        <f t="shared" si="30"/>
        <v>1164195.8425613022</v>
      </c>
      <c r="F289" s="122">
        <f t="shared" si="31"/>
        <v>17830.479145268844</v>
      </c>
      <c r="G289" s="122"/>
      <c r="H289" s="122">
        <f t="shared" si="32"/>
        <v>10069.173528193496</v>
      </c>
      <c r="I289" s="122"/>
      <c r="J289" s="122">
        <f t="shared" si="33"/>
        <v>7761.305617075348</v>
      </c>
      <c r="K289" s="122">
        <f t="shared" si="34"/>
        <v>1154126.6690331087</v>
      </c>
    </row>
    <row r="290" spans="1:11" x14ac:dyDescent="0.25">
      <c r="A290" s="122"/>
      <c r="B290" s="308">
        <f t="shared" si="28"/>
        <v>23</v>
      </c>
      <c r="C290" s="98">
        <f t="shared" si="29"/>
        <v>276</v>
      </c>
      <c r="D290" s="122">
        <f t="shared" si="30"/>
        <v>1154126.6690331087</v>
      </c>
      <c r="F290" s="122">
        <f t="shared" si="31"/>
        <v>17830.479145268844</v>
      </c>
      <c r="G290" s="122"/>
      <c r="H290" s="122">
        <f t="shared" si="32"/>
        <v>10136.301351714646</v>
      </c>
      <c r="I290" s="122"/>
      <c r="J290" s="122">
        <f t="shared" si="33"/>
        <v>7694.1777935541977</v>
      </c>
      <c r="K290" s="122">
        <f t="shared" si="34"/>
        <v>1143990.3676813941</v>
      </c>
    </row>
    <row r="291" spans="1:11" x14ac:dyDescent="0.25">
      <c r="A291" s="122"/>
      <c r="B291" s="308">
        <f t="shared" si="28"/>
        <v>24</v>
      </c>
      <c r="C291" s="98">
        <f t="shared" si="29"/>
        <v>277</v>
      </c>
      <c r="D291" s="122">
        <f t="shared" si="30"/>
        <v>1143990.3676813941</v>
      </c>
      <c r="F291" s="122">
        <f t="shared" si="31"/>
        <v>17830.479145268844</v>
      </c>
      <c r="G291" s="122"/>
      <c r="H291" s="122">
        <f t="shared" si="32"/>
        <v>10203.876694059465</v>
      </c>
      <c r="I291" s="122"/>
      <c r="J291" s="122">
        <f t="shared" si="33"/>
        <v>7626.6024512093791</v>
      </c>
      <c r="K291" s="122">
        <f t="shared" si="34"/>
        <v>1133786.4909873346</v>
      </c>
    </row>
    <row r="292" spans="1:11" x14ac:dyDescent="0.25">
      <c r="A292" s="122"/>
      <c r="B292" s="308">
        <f t="shared" si="28"/>
        <v>24</v>
      </c>
      <c r="C292" s="98">
        <f t="shared" si="29"/>
        <v>278</v>
      </c>
      <c r="D292" s="122">
        <f t="shared" si="30"/>
        <v>1133786.4909873346</v>
      </c>
      <c r="F292" s="122">
        <f t="shared" si="31"/>
        <v>17830.479145268844</v>
      </c>
      <c r="G292" s="122"/>
      <c r="H292" s="122">
        <f t="shared" si="32"/>
        <v>10271.902538686525</v>
      </c>
      <c r="I292" s="122"/>
      <c r="J292" s="122">
        <f t="shared" si="33"/>
        <v>7558.5766065823191</v>
      </c>
      <c r="K292" s="122">
        <f t="shared" si="34"/>
        <v>1123514.5884486481</v>
      </c>
    </row>
    <row r="293" spans="1:11" x14ac:dyDescent="0.25">
      <c r="A293" s="122"/>
      <c r="B293" s="308">
        <f t="shared" si="28"/>
        <v>24</v>
      </c>
      <c r="C293" s="98">
        <f t="shared" si="29"/>
        <v>279</v>
      </c>
      <c r="D293" s="122">
        <f t="shared" si="30"/>
        <v>1123514.5884486481</v>
      </c>
      <c r="F293" s="122">
        <f t="shared" si="31"/>
        <v>17830.479145268844</v>
      </c>
      <c r="G293" s="122"/>
      <c r="H293" s="122">
        <f t="shared" si="32"/>
        <v>10340.381888944423</v>
      </c>
      <c r="I293" s="122"/>
      <c r="J293" s="122">
        <f t="shared" si="33"/>
        <v>7490.0972563244213</v>
      </c>
      <c r="K293" s="122">
        <f t="shared" si="34"/>
        <v>1113174.2065597037</v>
      </c>
    </row>
    <row r="294" spans="1:11" x14ac:dyDescent="0.25">
      <c r="A294" s="122"/>
      <c r="B294" s="308">
        <f t="shared" si="28"/>
        <v>24</v>
      </c>
      <c r="C294" s="98">
        <f t="shared" si="29"/>
        <v>280</v>
      </c>
      <c r="D294" s="122">
        <f t="shared" si="30"/>
        <v>1113174.2065597037</v>
      </c>
      <c r="F294" s="122">
        <f t="shared" si="31"/>
        <v>17830.479145268844</v>
      </c>
      <c r="G294" s="122"/>
      <c r="H294" s="122">
        <f t="shared" si="32"/>
        <v>10409.317768204026</v>
      </c>
      <c r="I294" s="122"/>
      <c r="J294" s="122">
        <f t="shared" si="33"/>
        <v>7421.1613770648182</v>
      </c>
      <c r="K294" s="122">
        <f t="shared" si="34"/>
        <v>1102764.8887914997</v>
      </c>
    </row>
    <row r="295" spans="1:11" x14ac:dyDescent="0.25">
      <c r="A295" s="122"/>
      <c r="B295" s="308">
        <f t="shared" si="28"/>
        <v>24</v>
      </c>
      <c r="C295" s="98">
        <f t="shared" si="29"/>
        <v>281</v>
      </c>
      <c r="D295" s="122">
        <f t="shared" si="30"/>
        <v>1102764.8887914997</v>
      </c>
      <c r="F295" s="122">
        <f t="shared" si="31"/>
        <v>17830.479145268844</v>
      </c>
      <c r="G295" s="122"/>
      <c r="H295" s="122">
        <f t="shared" si="32"/>
        <v>10478.713219992118</v>
      </c>
      <c r="I295" s="122"/>
      <c r="J295" s="122">
        <f t="shared" si="33"/>
        <v>7351.7659252767262</v>
      </c>
      <c r="K295" s="122">
        <f t="shared" si="34"/>
        <v>1092286.1755715075</v>
      </c>
    </row>
    <row r="296" spans="1:11" x14ac:dyDescent="0.25">
      <c r="A296" s="122"/>
      <c r="B296" s="308">
        <f t="shared" si="28"/>
        <v>24</v>
      </c>
      <c r="C296" s="98">
        <f t="shared" si="29"/>
        <v>282</v>
      </c>
      <c r="D296" s="122">
        <f t="shared" si="30"/>
        <v>1092286.1755715075</v>
      </c>
      <c r="F296" s="122">
        <f t="shared" si="31"/>
        <v>17830.479145268844</v>
      </c>
      <c r="G296" s="122"/>
      <c r="H296" s="122">
        <f t="shared" si="32"/>
        <v>10548.571308125276</v>
      </c>
      <c r="I296" s="122"/>
      <c r="J296" s="122">
        <f t="shared" si="33"/>
        <v>7281.907837143568</v>
      </c>
      <c r="K296" s="122">
        <f t="shared" si="34"/>
        <v>1081737.6042633823</v>
      </c>
    </row>
    <row r="297" spans="1:11" x14ac:dyDescent="0.25">
      <c r="A297" s="122"/>
      <c r="B297" s="308">
        <f t="shared" si="28"/>
        <v>24</v>
      </c>
      <c r="C297" s="98">
        <f t="shared" si="29"/>
        <v>283</v>
      </c>
      <c r="D297" s="122">
        <f t="shared" si="30"/>
        <v>1081737.6042633823</v>
      </c>
      <c r="F297" s="122">
        <f t="shared" si="31"/>
        <v>17830.479145268844</v>
      </c>
      <c r="G297" s="122"/>
      <c r="H297" s="122">
        <f t="shared" si="32"/>
        <v>10618.89511684631</v>
      </c>
      <c r="I297" s="122"/>
      <c r="J297" s="122">
        <f t="shared" si="33"/>
        <v>7211.5840284225342</v>
      </c>
      <c r="K297" s="122">
        <f t="shared" si="34"/>
        <v>1071118.709146536</v>
      </c>
    </row>
    <row r="298" spans="1:11" x14ac:dyDescent="0.25">
      <c r="A298" s="122"/>
      <c r="B298" s="308">
        <f t="shared" si="28"/>
        <v>24</v>
      </c>
      <c r="C298" s="98">
        <f t="shared" si="29"/>
        <v>284</v>
      </c>
      <c r="D298" s="122">
        <f t="shared" si="30"/>
        <v>1071118.709146536</v>
      </c>
      <c r="F298" s="122">
        <f t="shared" si="31"/>
        <v>17830.479145268844</v>
      </c>
      <c r="G298" s="122"/>
      <c r="H298" s="122">
        <f t="shared" si="32"/>
        <v>10689.687750958605</v>
      </c>
      <c r="I298" s="122"/>
      <c r="J298" s="122">
        <f t="shared" si="33"/>
        <v>7140.7913943102394</v>
      </c>
      <c r="K298" s="122">
        <f t="shared" si="34"/>
        <v>1060429.0213955774</v>
      </c>
    </row>
    <row r="299" spans="1:11" x14ac:dyDescent="0.25">
      <c r="A299" s="122"/>
      <c r="B299" s="308">
        <f t="shared" si="28"/>
        <v>24</v>
      </c>
      <c r="C299" s="98">
        <f t="shared" si="29"/>
        <v>285</v>
      </c>
      <c r="D299" s="122">
        <f t="shared" si="30"/>
        <v>1060429.0213955774</v>
      </c>
      <c r="F299" s="122">
        <f t="shared" si="31"/>
        <v>17830.479145268844</v>
      </c>
      <c r="G299" s="122"/>
      <c r="H299" s="122">
        <f t="shared" si="32"/>
        <v>10760.952335964888</v>
      </c>
      <c r="I299" s="122"/>
      <c r="J299" s="122">
        <f t="shared" si="33"/>
        <v>7069.5268093039558</v>
      </c>
      <c r="K299" s="122">
        <f t="shared" si="34"/>
        <v>1049668.0690596125</v>
      </c>
    </row>
    <row r="300" spans="1:11" x14ac:dyDescent="0.25">
      <c r="A300" s="122"/>
      <c r="B300" s="308">
        <f t="shared" si="28"/>
        <v>24</v>
      </c>
      <c r="C300" s="98">
        <f t="shared" si="29"/>
        <v>286</v>
      </c>
      <c r="D300" s="122">
        <f t="shared" si="30"/>
        <v>1049668.0690596125</v>
      </c>
      <c r="F300" s="122">
        <f t="shared" si="31"/>
        <v>17830.479145268844</v>
      </c>
      <c r="G300" s="122"/>
      <c r="H300" s="122">
        <f t="shared" si="32"/>
        <v>10832.692018204601</v>
      </c>
      <c r="I300" s="122"/>
      <c r="J300" s="122">
        <f t="shared" si="33"/>
        <v>6997.7871270642427</v>
      </c>
      <c r="K300" s="122">
        <f t="shared" si="34"/>
        <v>1038835.3770414079</v>
      </c>
    </row>
    <row r="301" spans="1:11" x14ac:dyDescent="0.25">
      <c r="A301" s="122"/>
      <c r="B301" s="308">
        <f t="shared" si="28"/>
        <v>24</v>
      </c>
      <c r="C301" s="98">
        <f t="shared" si="29"/>
        <v>287</v>
      </c>
      <c r="D301" s="122">
        <f t="shared" si="30"/>
        <v>1038835.3770414079</v>
      </c>
      <c r="F301" s="122">
        <f t="shared" si="31"/>
        <v>17830.479145268844</v>
      </c>
      <c r="G301" s="122"/>
      <c r="H301" s="122">
        <f t="shared" si="32"/>
        <v>10904.909964992665</v>
      </c>
      <c r="I301" s="122"/>
      <c r="J301" s="122">
        <f t="shared" si="33"/>
        <v>6925.5691802761794</v>
      </c>
      <c r="K301" s="122">
        <f t="shared" si="34"/>
        <v>1027930.4670764152</v>
      </c>
    </row>
    <row r="302" spans="1:11" x14ac:dyDescent="0.25">
      <c r="A302" s="122"/>
      <c r="B302" s="308">
        <f t="shared" si="28"/>
        <v>24</v>
      </c>
      <c r="C302" s="98">
        <f t="shared" si="29"/>
        <v>288</v>
      </c>
      <c r="D302" s="122">
        <f t="shared" si="30"/>
        <v>1027930.4670764152</v>
      </c>
      <c r="F302" s="122">
        <f t="shared" si="31"/>
        <v>17830.479145268844</v>
      </c>
      <c r="G302" s="122"/>
      <c r="H302" s="122">
        <f t="shared" si="32"/>
        <v>10977.609364759293</v>
      </c>
      <c r="I302" s="122"/>
      <c r="J302" s="122">
        <f t="shared" si="33"/>
        <v>6852.8697805095508</v>
      </c>
      <c r="K302" s="122">
        <f t="shared" si="34"/>
        <v>1016952.8577116559</v>
      </c>
    </row>
    <row r="303" spans="1:11" x14ac:dyDescent="0.25">
      <c r="A303" s="122"/>
      <c r="B303" s="308">
        <f t="shared" si="28"/>
        <v>25</v>
      </c>
      <c r="C303" s="98">
        <f t="shared" si="29"/>
        <v>289</v>
      </c>
      <c r="D303" s="122">
        <f t="shared" si="30"/>
        <v>1016952.8577116559</v>
      </c>
      <c r="F303" s="122">
        <f t="shared" si="31"/>
        <v>17830.479145268844</v>
      </c>
      <c r="G303" s="122"/>
      <c r="H303" s="122">
        <f t="shared" si="32"/>
        <v>11050.793427191093</v>
      </c>
      <c r="I303" s="122"/>
      <c r="J303" s="122">
        <f t="shared" si="33"/>
        <v>6779.6857180777515</v>
      </c>
      <c r="K303" s="122">
        <f t="shared" si="34"/>
        <v>1005902.0642844648</v>
      </c>
    </row>
    <row r="304" spans="1:11" x14ac:dyDescent="0.25">
      <c r="A304" s="122"/>
      <c r="B304" s="308">
        <f t="shared" si="28"/>
        <v>25</v>
      </c>
      <c r="C304" s="98">
        <f t="shared" si="29"/>
        <v>290</v>
      </c>
      <c r="D304" s="122">
        <f t="shared" si="30"/>
        <v>1005902.0642844648</v>
      </c>
      <c r="F304" s="122">
        <f t="shared" si="31"/>
        <v>17830.479145268844</v>
      </c>
      <c r="G304" s="122"/>
      <c r="H304" s="122">
        <f t="shared" si="32"/>
        <v>11124.46538337227</v>
      </c>
      <c r="I304" s="122"/>
      <c r="J304" s="122">
        <f t="shared" si="33"/>
        <v>6706.0137618965746</v>
      </c>
      <c r="K304" s="122">
        <f t="shared" si="34"/>
        <v>994777.59890109254</v>
      </c>
    </row>
    <row r="305" spans="1:11" x14ac:dyDescent="0.25">
      <c r="A305" s="122"/>
      <c r="B305" s="308">
        <f t="shared" si="28"/>
        <v>25</v>
      </c>
      <c r="C305" s="98">
        <f t="shared" si="29"/>
        <v>291</v>
      </c>
      <c r="D305" s="122">
        <f t="shared" si="30"/>
        <v>994777.59890109254</v>
      </c>
      <c r="F305" s="122">
        <f t="shared" si="31"/>
        <v>17830.479145268844</v>
      </c>
      <c r="G305" s="122"/>
      <c r="H305" s="122">
        <f t="shared" si="32"/>
        <v>11198.628485928173</v>
      </c>
      <c r="I305" s="122"/>
      <c r="J305" s="122">
        <f t="shared" si="33"/>
        <v>6631.850659340671</v>
      </c>
      <c r="K305" s="122">
        <f t="shared" si="34"/>
        <v>983578.97041516437</v>
      </c>
    </row>
    <row r="306" spans="1:11" x14ac:dyDescent="0.25">
      <c r="A306" s="122"/>
      <c r="B306" s="308">
        <f t="shared" si="28"/>
        <v>25</v>
      </c>
      <c r="C306" s="98">
        <f t="shared" si="29"/>
        <v>292</v>
      </c>
      <c r="D306" s="122">
        <f t="shared" si="30"/>
        <v>983578.97041516437</v>
      </c>
      <c r="F306" s="122">
        <f t="shared" si="31"/>
        <v>17830.479145268844</v>
      </c>
      <c r="G306" s="122"/>
      <c r="H306" s="122">
        <f t="shared" si="32"/>
        <v>11273.28600916767</v>
      </c>
      <c r="I306" s="122"/>
      <c r="J306" s="122">
        <f t="shared" si="33"/>
        <v>6557.1931361011739</v>
      </c>
      <c r="K306" s="122">
        <f t="shared" si="34"/>
        <v>972305.6844059967</v>
      </c>
    </row>
    <row r="307" spans="1:11" x14ac:dyDescent="0.25">
      <c r="A307" s="122"/>
      <c r="B307" s="308">
        <f t="shared" si="28"/>
        <v>25</v>
      </c>
      <c r="C307" s="98">
        <f t="shared" si="29"/>
        <v>293</v>
      </c>
      <c r="D307" s="122">
        <f t="shared" si="30"/>
        <v>972305.6844059967</v>
      </c>
      <c r="F307" s="122">
        <f t="shared" si="31"/>
        <v>17830.479145268844</v>
      </c>
      <c r="G307" s="122"/>
      <c r="H307" s="122">
        <f t="shared" si="32"/>
        <v>11348.441249228781</v>
      </c>
      <c r="I307" s="122"/>
      <c r="J307" s="122">
        <f t="shared" si="33"/>
        <v>6482.0378960400631</v>
      </c>
      <c r="K307" s="122">
        <f t="shared" si="34"/>
        <v>960957.24315676792</v>
      </c>
    </row>
    <row r="308" spans="1:11" x14ac:dyDescent="0.25">
      <c r="A308" s="122"/>
      <c r="B308" s="308">
        <f t="shared" si="28"/>
        <v>25</v>
      </c>
      <c r="C308" s="98">
        <f t="shared" si="29"/>
        <v>294</v>
      </c>
      <c r="D308" s="122">
        <f t="shared" si="30"/>
        <v>960957.24315676792</v>
      </c>
      <c r="F308" s="122">
        <f t="shared" si="31"/>
        <v>17830.479145268844</v>
      </c>
      <c r="G308" s="122"/>
      <c r="H308" s="122">
        <f t="shared" si="32"/>
        <v>11424.097524223616</v>
      </c>
      <c r="I308" s="122"/>
      <c r="J308" s="122">
        <f t="shared" si="33"/>
        <v>6406.3816210452278</v>
      </c>
      <c r="K308" s="122">
        <f t="shared" si="34"/>
        <v>949533.1456325443</v>
      </c>
    </row>
    <row r="309" spans="1:11" x14ac:dyDescent="0.25">
      <c r="A309" s="122"/>
      <c r="B309" s="308">
        <f t="shared" si="28"/>
        <v>25</v>
      </c>
      <c r="C309" s="98">
        <f t="shared" si="29"/>
        <v>295</v>
      </c>
      <c r="D309" s="122">
        <f t="shared" si="30"/>
        <v>949533.1456325443</v>
      </c>
      <c r="F309" s="122">
        <f t="shared" si="31"/>
        <v>17830.479145268844</v>
      </c>
      <c r="G309" s="122"/>
      <c r="H309" s="122">
        <f t="shared" si="32"/>
        <v>11500.258174385061</v>
      </c>
      <c r="I309" s="122"/>
      <c r="J309" s="122">
        <f t="shared" si="33"/>
        <v>6330.2209708837836</v>
      </c>
      <c r="K309" s="122">
        <f t="shared" si="34"/>
        <v>938032.88745815924</v>
      </c>
    </row>
    <row r="310" spans="1:11" x14ac:dyDescent="0.25">
      <c r="A310" s="122"/>
      <c r="B310" s="308">
        <f t="shared" si="28"/>
        <v>25</v>
      </c>
      <c r="C310" s="98">
        <f t="shared" si="29"/>
        <v>296</v>
      </c>
      <c r="D310" s="122">
        <f t="shared" si="30"/>
        <v>938032.88745815924</v>
      </c>
      <c r="F310" s="122">
        <f t="shared" si="31"/>
        <v>17830.479145268844</v>
      </c>
      <c r="G310" s="122"/>
      <c r="H310" s="122">
        <f t="shared" si="32"/>
        <v>11576.926562214387</v>
      </c>
      <c r="I310" s="122"/>
      <c r="J310" s="122">
        <f t="shared" si="33"/>
        <v>6253.5525830544575</v>
      </c>
      <c r="K310" s="122">
        <f t="shared" si="34"/>
        <v>926455.96089594485</v>
      </c>
    </row>
    <row r="311" spans="1:11" x14ac:dyDescent="0.25">
      <c r="A311" s="122"/>
      <c r="B311" s="308">
        <f t="shared" si="28"/>
        <v>25</v>
      </c>
      <c r="C311" s="98">
        <f t="shared" si="29"/>
        <v>297</v>
      </c>
      <c r="D311" s="122">
        <f t="shared" si="30"/>
        <v>926455.96089594485</v>
      </c>
      <c r="F311" s="122">
        <f t="shared" si="31"/>
        <v>17830.479145268844</v>
      </c>
      <c r="G311" s="122"/>
      <c r="H311" s="122">
        <f t="shared" si="32"/>
        <v>11654.106072629103</v>
      </c>
      <c r="I311" s="122"/>
      <c r="J311" s="122">
        <f t="shared" si="33"/>
        <v>6176.3730726397407</v>
      </c>
      <c r="K311" s="122">
        <f t="shared" si="34"/>
        <v>914801.85482331575</v>
      </c>
    </row>
    <row r="312" spans="1:11" x14ac:dyDescent="0.25">
      <c r="A312" s="122"/>
      <c r="B312" s="308">
        <f t="shared" si="28"/>
        <v>25</v>
      </c>
      <c r="C312" s="98">
        <f t="shared" si="29"/>
        <v>298</v>
      </c>
      <c r="D312" s="122">
        <f t="shared" si="30"/>
        <v>914801.85482331575</v>
      </c>
      <c r="F312" s="122">
        <f t="shared" si="31"/>
        <v>17830.479145268844</v>
      </c>
      <c r="G312" s="122"/>
      <c r="H312" s="122">
        <f t="shared" si="32"/>
        <v>11731.800113113248</v>
      </c>
      <c r="I312" s="122"/>
      <c r="J312" s="122">
        <f t="shared" si="33"/>
        <v>6098.6790321555964</v>
      </c>
      <c r="K312" s="122">
        <f t="shared" si="34"/>
        <v>903070.0547102025</v>
      </c>
    </row>
    <row r="313" spans="1:11" x14ac:dyDescent="0.25">
      <c r="A313" s="122"/>
      <c r="B313" s="308">
        <f t="shared" si="28"/>
        <v>25</v>
      </c>
      <c r="C313" s="98">
        <f t="shared" si="29"/>
        <v>299</v>
      </c>
      <c r="D313" s="122">
        <f t="shared" si="30"/>
        <v>903070.0547102025</v>
      </c>
      <c r="F313" s="122">
        <f t="shared" si="31"/>
        <v>17830.479145268844</v>
      </c>
      <c r="G313" s="122"/>
      <c r="H313" s="122">
        <f t="shared" si="32"/>
        <v>11810.012113867444</v>
      </c>
      <c r="I313" s="122"/>
      <c r="J313" s="122">
        <f t="shared" si="33"/>
        <v>6020.4670314014002</v>
      </c>
      <c r="K313" s="122">
        <f t="shared" si="34"/>
        <v>891260.04259633506</v>
      </c>
    </row>
    <row r="314" spans="1:11" x14ac:dyDescent="0.25">
      <c r="A314" s="122"/>
      <c r="B314" s="308">
        <f t="shared" si="28"/>
        <v>25</v>
      </c>
      <c r="C314" s="98">
        <f t="shared" si="29"/>
        <v>300</v>
      </c>
      <c r="D314" s="122">
        <f t="shared" si="30"/>
        <v>891260.04259633506</v>
      </c>
      <c r="F314" s="122">
        <f t="shared" si="31"/>
        <v>17830.479145268844</v>
      </c>
      <c r="G314" s="122"/>
      <c r="H314" s="122">
        <f t="shared" si="32"/>
        <v>11888.745527959894</v>
      </c>
      <c r="I314" s="122"/>
      <c r="J314" s="122">
        <f t="shared" si="33"/>
        <v>5941.7336173089498</v>
      </c>
      <c r="K314" s="122">
        <f t="shared" si="34"/>
        <v>879371.29706837516</v>
      </c>
    </row>
    <row r="315" spans="1:11" x14ac:dyDescent="0.25">
      <c r="A315" s="122"/>
      <c r="B315" s="308">
        <f t="shared" si="28"/>
        <v>26</v>
      </c>
      <c r="C315" s="98">
        <f t="shared" si="29"/>
        <v>301</v>
      </c>
      <c r="D315" s="122">
        <f t="shared" si="30"/>
        <v>879371.29706837516</v>
      </c>
      <c r="F315" s="122">
        <f t="shared" si="31"/>
        <v>17830.479145268844</v>
      </c>
      <c r="G315" s="122"/>
      <c r="H315" s="122">
        <f t="shared" si="32"/>
        <v>11968.003831479582</v>
      </c>
      <c r="I315" s="122"/>
      <c r="J315" s="122">
        <f t="shared" si="33"/>
        <v>5862.4753137892621</v>
      </c>
      <c r="K315" s="122">
        <f t="shared" si="34"/>
        <v>867403.29323689558</v>
      </c>
    </row>
    <row r="316" spans="1:11" x14ac:dyDescent="0.25">
      <c r="A316" s="122"/>
      <c r="B316" s="308">
        <f t="shared" si="28"/>
        <v>26</v>
      </c>
      <c r="C316" s="98">
        <f t="shared" si="29"/>
        <v>302</v>
      </c>
      <c r="D316" s="122">
        <f t="shared" si="30"/>
        <v>867403.29323689558</v>
      </c>
      <c r="F316" s="122">
        <f t="shared" si="31"/>
        <v>17830.479145268844</v>
      </c>
      <c r="G316" s="122"/>
      <c r="H316" s="122">
        <f t="shared" si="32"/>
        <v>12047.790523689473</v>
      </c>
      <c r="I316" s="122"/>
      <c r="J316" s="122">
        <f t="shared" si="33"/>
        <v>5782.6886215793711</v>
      </c>
      <c r="K316" s="122">
        <f t="shared" si="34"/>
        <v>855355.50271320611</v>
      </c>
    </row>
    <row r="317" spans="1:11" x14ac:dyDescent="0.25">
      <c r="A317" s="122"/>
      <c r="B317" s="308">
        <f t="shared" si="28"/>
        <v>26</v>
      </c>
      <c r="C317" s="98">
        <f t="shared" si="29"/>
        <v>303</v>
      </c>
      <c r="D317" s="122">
        <f t="shared" si="30"/>
        <v>855355.50271320611</v>
      </c>
      <c r="F317" s="122">
        <f t="shared" si="31"/>
        <v>17830.479145268844</v>
      </c>
      <c r="G317" s="122"/>
      <c r="H317" s="122">
        <f t="shared" si="32"/>
        <v>12128.109127180651</v>
      </c>
      <c r="I317" s="122"/>
      <c r="J317" s="122">
        <f t="shared" si="33"/>
        <v>5702.3700180881933</v>
      </c>
      <c r="K317" s="122">
        <f t="shared" si="34"/>
        <v>843227.39358602546</v>
      </c>
    </row>
    <row r="318" spans="1:11" x14ac:dyDescent="0.25">
      <c r="A318" s="122"/>
      <c r="B318" s="308">
        <f t="shared" si="28"/>
        <v>26</v>
      </c>
      <c r="C318" s="98">
        <f t="shared" si="29"/>
        <v>304</v>
      </c>
      <c r="D318" s="122">
        <f t="shared" si="30"/>
        <v>843227.39358602546</v>
      </c>
      <c r="F318" s="122">
        <f t="shared" si="31"/>
        <v>17830.479145268844</v>
      </c>
      <c r="G318" s="122"/>
      <c r="H318" s="122">
        <f t="shared" si="32"/>
        <v>12208.963188028545</v>
      </c>
      <c r="I318" s="122"/>
      <c r="J318" s="122">
        <f t="shared" si="33"/>
        <v>5621.515957240299</v>
      </c>
      <c r="K318" s="122">
        <f t="shared" si="34"/>
        <v>831018.43039799691</v>
      </c>
    </row>
    <row r="319" spans="1:11" x14ac:dyDescent="0.25">
      <c r="A319" s="122"/>
      <c r="B319" s="308">
        <f t="shared" si="28"/>
        <v>26</v>
      </c>
      <c r="C319" s="98">
        <f t="shared" si="29"/>
        <v>305</v>
      </c>
      <c r="D319" s="122">
        <f t="shared" si="30"/>
        <v>831018.43039799691</v>
      </c>
      <c r="F319" s="122">
        <f t="shared" si="31"/>
        <v>17830.479145268844</v>
      </c>
      <c r="G319" s="122"/>
      <c r="H319" s="122">
        <f t="shared" si="32"/>
        <v>12290.356275948696</v>
      </c>
      <c r="I319" s="122"/>
      <c r="J319" s="122">
        <f t="shared" si="33"/>
        <v>5540.1228693201483</v>
      </c>
      <c r="K319" s="122">
        <f t="shared" si="34"/>
        <v>818728.07412204822</v>
      </c>
    </row>
    <row r="320" spans="1:11" x14ac:dyDescent="0.25">
      <c r="A320" s="122"/>
      <c r="B320" s="308">
        <f t="shared" si="28"/>
        <v>26</v>
      </c>
      <c r="C320" s="98">
        <f t="shared" si="29"/>
        <v>306</v>
      </c>
      <c r="D320" s="122">
        <f t="shared" si="30"/>
        <v>818728.07412204822</v>
      </c>
      <c r="F320" s="122">
        <f t="shared" si="31"/>
        <v>17830.479145268844</v>
      </c>
      <c r="G320" s="122"/>
      <c r="H320" s="122">
        <f t="shared" si="32"/>
        <v>12372.291984455078</v>
      </c>
      <c r="I320" s="122"/>
      <c r="J320" s="122">
        <f t="shared" si="33"/>
        <v>5458.1871608137662</v>
      </c>
      <c r="K320" s="122">
        <f t="shared" si="34"/>
        <v>806355.78213759314</v>
      </c>
    </row>
    <row r="321" spans="1:11" x14ac:dyDescent="0.25">
      <c r="A321" s="122"/>
      <c r="B321" s="308">
        <f t="shared" si="28"/>
        <v>26</v>
      </c>
      <c r="C321" s="98">
        <f t="shared" si="29"/>
        <v>307</v>
      </c>
      <c r="D321" s="122">
        <f t="shared" si="30"/>
        <v>806355.78213759314</v>
      </c>
      <c r="F321" s="122">
        <f t="shared" si="31"/>
        <v>17830.479145268844</v>
      </c>
      <c r="G321" s="122"/>
      <c r="H321" s="122">
        <f t="shared" si="32"/>
        <v>12454.773931018077</v>
      </c>
      <c r="I321" s="122"/>
      <c r="J321" s="122">
        <f t="shared" si="33"/>
        <v>5375.7052142507673</v>
      </c>
      <c r="K321" s="122">
        <f t="shared" si="34"/>
        <v>793901.00820657506</v>
      </c>
    </row>
    <row r="322" spans="1:11" x14ac:dyDescent="0.25">
      <c r="A322" s="122"/>
      <c r="B322" s="308">
        <f t="shared" si="28"/>
        <v>26</v>
      </c>
      <c r="C322" s="98">
        <f t="shared" si="29"/>
        <v>308</v>
      </c>
      <c r="D322" s="122">
        <f t="shared" si="30"/>
        <v>793901.00820657506</v>
      </c>
      <c r="F322" s="122">
        <f t="shared" si="31"/>
        <v>17830.479145268844</v>
      </c>
      <c r="G322" s="122"/>
      <c r="H322" s="122">
        <f t="shared" si="32"/>
        <v>12537.805757224909</v>
      </c>
      <c r="I322" s="122"/>
      <c r="J322" s="122">
        <f t="shared" si="33"/>
        <v>5292.6733880439351</v>
      </c>
      <c r="K322" s="122">
        <f t="shared" si="34"/>
        <v>781363.20244935015</v>
      </c>
    </row>
    <row r="323" spans="1:11" x14ac:dyDescent="0.25">
      <c r="A323" s="122"/>
      <c r="B323" s="308">
        <f t="shared" si="28"/>
        <v>26</v>
      </c>
      <c r="C323" s="98">
        <f t="shared" si="29"/>
        <v>309</v>
      </c>
      <c r="D323" s="122">
        <f t="shared" si="30"/>
        <v>781363.20244935015</v>
      </c>
      <c r="F323" s="122">
        <f t="shared" si="31"/>
        <v>17830.479145268844</v>
      </c>
      <c r="G323" s="122"/>
      <c r="H323" s="122">
        <f t="shared" si="32"/>
        <v>12621.391128939693</v>
      </c>
      <c r="I323" s="122"/>
      <c r="J323" s="122">
        <f t="shared" si="33"/>
        <v>5209.0880163291513</v>
      </c>
      <c r="K323" s="122">
        <f t="shared" si="34"/>
        <v>768741.81132041046</v>
      </c>
    </row>
    <row r="324" spans="1:11" x14ac:dyDescent="0.25">
      <c r="A324" s="122"/>
      <c r="B324" s="308">
        <f t="shared" si="28"/>
        <v>26</v>
      </c>
      <c r="C324" s="98">
        <f t="shared" si="29"/>
        <v>310</v>
      </c>
      <c r="D324" s="122">
        <f t="shared" si="30"/>
        <v>768741.81132041046</v>
      </c>
      <c r="F324" s="122">
        <f t="shared" si="31"/>
        <v>17830.479145268844</v>
      </c>
      <c r="G324" s="122"/>
      <c r="H324" s="122">
        <f t="shared" si="32"/>
        <v>12705.533736465964</v>
      </c>
      <c r="I324" s="122"/>
      <c r="J324" s="122">
        <f t="shared" si="33"/>
        <v>5124.9454088028797</v>
      </c>
      <c r="K324" s="122">
        <f t="shared" si="34"/>
        <v>756036.27758394449</v>
      </c>
    </row>
    <row r="325" spans="1:11" x14ac:dyDescent="0.25">
      <c r="A325" s="122"/>
      <c r="B325" s="308">
        <f t="shared" si="28"/>
        <v>26</v>
      </c>
      <c r="C325" s="98">
        <f t="shared" si="29"/>
        <v>311</v>
      </c>
      <c r="D325" s="122">
        <f t="shared" si="30"/>
        <v>756036.27758394449</v>
      </c>
      <c r="F325" s="122">
        <f t="shared" si="31"/>
        <v>17830.479145268844</v>
      </c>
      <c r="G325" s="122"/>
      <c r="H325" s="122">
        <f t="shared" si="32"/>
        <v>12790.237294709077</v>
      </c>
      <c r="I325" s="122"/>
      <c r="J325" s="122">
        <f t="shared" si="33"/>
        <v>5040.241850559767</v>
      </c>
      <c r="K325" s="122">
        <f t="shared" si="34"/>
        <v>743246.04028923542</v>
      </c>
    </row>
    <row r="326" spans="1:11" x14ac:dyDescent="0.25">
      <c r="A326" s="122"/>
      <c r="B326" s="308">
        <f t="shared" si="28"/>
        <v>26</v>
      </c>
      <c r="C326" s="98">
        <f t="shared" si="29"/>
        <v>312</v>
      </c>
      <c r="D326" s="122">
        <f t="shared" si="30"/>
        <v>743246.04028923542</v>
      </c>
      <c r="F326" s="122">
        <f t="shared" si="31"/>
        <v>17830.479145268844</v>
      </c>
      <c r="G326" s="122"/>
      <c r="H326" s="122">
        <f t="shared" si="32"/>
        <v>12875.505543340463</v>
      </c>
      <c r="I326" s="122"/>
      <c r="J326" s="122">
        <f t="shared" si="33"/>
        <v>4954.973601928381</v>
      </c>
      <c r="K326" s="124">
        <f t="shared" si="34"/>
        <v>730370.53474589495</v>
      </c>
    </row>
    <row r="327" spans="1:11" x14ac:dyDescent="0.25">
      <c r="A327" s="122"/>
      <c r="B327" s="308">
        <f t="shared" si="28"/>
        <v>27</v>
      </c>
      <c r="C327" s="98">
        <f t="shared" si="29"/>
        <v>313</v>
      </c>
      <c r="D327" s="122">
        <f t="shared" si="30"/>
        <v>730370.53474589495</v>
      </c>
      <c r="F327" s="122">
        <f t="shared" si="31"/>
        <v>17830.479145268844</v>
      </c>
      <c r="G327" s="122"/>
      <c r="H327" s="122">
        <f t="shared" si="32"/>
        <v>12961.342246962711</v>
      </c>
      <c r="I327" s="122"/>
      <c r="J327" s="122">
        <f t="shared" si="33"/>
        <v>4869.1368983061329</v>
      </c>
      <c r="K327" s="122">
        <f t="shared" si="34"/>
        <v>717409.19249893224</v>
      </c>
    </row>
    <row r="328" spans="1:11" x14ac:dyDescent="0.25">
      <c r="A328" s="122"/>
      <c r="B328" s="308">
        <f t="shared" si="28"/>
        <v>27</v>
      </c>
      <c r="C328" s="98">
        <f t="shared" si="29"/>
        <v>314</v>
      </c>
      <c r="D328" s="122">
        <f t="shared" si="30"/>
        <v>717409.19249893224</v>
      </c>
      <c r="F328" s="122">
        <f t="shared" si="31"/>
        <v>17830.479145268844</v>
      </c>
      <c r="G328" s="122"/>
      <c r="H328" s="122">
        <f t="shared" si="32"/>
        <v>13047.751195275807</v>
      </c>
      <c r="I328" s="122"/>
      <c r="J328" s="122">
        <f t="shared" si="33"/>
        <v>4782.7279499930373</v>
      </c>
      <c r="K328" s="122">
        <f t="shared" si="34"/>
        <v>704361.44130365644</v>
      </c>
    </row>
    <row r="329" spans="1:11" x14ac:dyDescent="0.25">
      <c r="A329" s="122"/>
      <c r="B329" s="308">
        <f t="shared" si="28"/>
        <v>27</v>
      </c>
      <c r="C329" s="98">
        <f t="shared" si="29"/>
        <v>315</v>
      </c>
      <c r="D329" s="122">
        <f t="shared" si="30"/>
        <v>704361.44130365644</v>
      </c>
      <c r="F329" s="122">
        <f t="shared" si="31"/>
        <v>17830.479145268844</v>
      </c>
      <c r="G329" s="122"/>
      <c r="H329" s="122">
        <f t="shared" si="32"/>
        <v>13134.736203244305</v>
      </c>
      <c r="I329" s="122"/>
      <c r="J329" s="122">
        <f t="shared" si="33"/>
        <v>4695.7429420245389</v>
      </c>
      <c r="K329" s="122">
        <f t="shared" si="34"/>
        <v>691226.70510041213</v>
      </c>
    </row>
    <row r="330" spans="1:11" x14ac:dyDescent="0.25">
      <c r="A330" s="122"/>
      <c r="B330" s="308">
        <f t="shared" si="28"/>
        <v>27</v>
      </c>
      <c r="C330" s="98">
        <f t="shared" si="29"/>
        <v>316</v>
      </c>
      <c r="D330" s="122">
        <f t="shared" si="30"/>
        <v>691226.70510041213</v>
      </c>
      <c r="F330" s="122">
        <f t="shared" si="31"/>
        <v>17830.479145268844</v>
      </c>
      <c r="G330" s="122"/>
      <c r="H330" s="122">
        <f t="shared" si="32"/>
        <v>13222.301111266017</v>
      </c>
      <c r="I330" s="122"/>
      <c r="J330" s="122">
        <f t="shared" si="33"/>
        <v>4608.1780340028272</v>
      </c>
      <c r="K330" s="122">
        <f t="shared" si="34"/>
        <v>678004.40398914611</v>
      </c>
    </row>
    <row r="331" spans="1:11" x14ac:dyDescent="0.25">
      <c r="A331" s="122"/>
      <c r="B331" s="308">
        <f t="shared" si="28"/>
        <v>27</v>
      </c>
      <c r="C331" s="98">
        <f t="shared" si="29"/>
        <v>317</v>
      </c>
      <c r="D331" s="122">
        <f t="shared" si="30"/>
        <v>678004.40398914611</v>
      </c>
      <c r="F331" s="122">
        <f t="shared" si="31"/>
        <v>17830.479145268844</v>
      </c>
      <c r="G331" s="122"/>
      <c r="H331" s="122">
        <f t="shared" si="32"/>
        <v>13310.449785341043</v>
      </c>
      <c r="I331" s="122"/>
      <c r="J331" s="122">
        <f t="shared" si="33"/>
        <v>4520.0293599278011</v>
      </c>
      <c r="K331" s="122">
        <f t="shared" si="34"/>
        <v>664693.95420380507</v>
      </c>
    </row>
    <row r="332" spans="1:11" x14ac:dyDescent="0.25">
      <c r="A332" s="122"/>
      <c r="B332" s="308">
        <f t="shared" si="28"/>
        <v>27</v>
      </c>
      <c r="C332" s="98">
        <f t="shared" si="29"/>
        <v>318</v>
      </c>
      <c r="D332" s="122">
        <f t="shared" si="30"/>
        <v>664693.95420380507</v>
      </c>
      <c r="F332" s="122">
        <f t="shared" si="31"/>
        <v>17830.479145268844</v>
      </c>
      <c r="G332" s="122"/>
      <c r="H332" s="122">
        <f t="shared" si="32"/>
        <v>13399.186117243371</v>
      </c>
      <c r="I332" s="122"/>
      <c r="J332" s="122">
        <f t="shared" si="33"/>
        <v>4431.2930280254732</v>
      </c>
      <c r="K332" s="122">
        <f t="shared" si="34"/>
        <v>651294.7680865617</v>
      </c>
    </row>
    <row r="333" spans="1:11" x14ac:dyDescent="0.25">
      <c r="A333" s="122"/>
      <c r="B333" s="308">
        <f t="shared" si="28"/>
        <v>27</v>
      </c>
      <c r="C333" s="98">
        <f t="shared" si="29"/>
        <v>319</v>
      </c>
      <c r="D333" s="122">
        <f t="shared" si="30"/>
        <v>651294.7680865617</v>
      </c>
      <c r="F333" s="122">
        <f t="shared" si="31"/>
        <v>17830.479145268844</v>
      </c>
      <c r="G333" s="122"/>
      <c r="H333" s="122">
        <f t="shared" si="32"/>
        <v>13488.514024691656</v>
      </c>
      <c r="I333" s="122"/>
      <c r="J333" s="122">
        <f t="shared" si="33"/>
        <v>4341.9651205771879</v>
      </c>
      <c r="K333" s="122">
        <f t="shared" si="34"/>
        <v>637806.25406187004</v>
      </c>
    </row>
    <row r="334" spans="1:11" x14ac:dyDescent="0.25">
      <c r="A334" s="122"/>
      <c r="B334" s="308">
        <f t="shared" si="28"/>
        <v>27</v>
      </c>
      <c r="C334" s="98">
        <f t="shared" si="29"/>
        <v>320</v>
      </c>
      <c r="D334" s="122">
        <f t="shared" si="30"/>
        <v>637806.25406187004</v>
      </c>
      <c r="F334" s="122">
        <f t="shared" si="31"/>
        <v>17830.479145268844</v>
      </c>
      <c r="G334" s="122"/>
      <c r="H334" s="122">
        <f t="shared" si="32"/>
        <v>13578.437451522914</v>
      </c>
      <c r="I334" s="122"/>
      <c r="J334" s="122">
        <f t="shared" si="33"/>
        <v>4252.0416937459304</v>
      </c>
      <c r="K334" s="122">
        <f t="shared" si="34"/>
        <v>624227.81661034713</v>
      </c>
    </row>
    <row r="335" spans="1:11" x14ac:dyDescent="0.25">
      <c r="A335" s="122"/>
      <c r="B335" s="308">
        <f t="shared" si="28"/>
        <v>27</v>
      </c>
      <c r="C335" s="98">
        <f t="shared" si="29"/>
        <v>321</v>
      </c>
      <c r="D335" s="122">
        <f t="shared" si="30"/>
        <v>624227.81661034713</v>
      </c>
      <c r="F335" s="122">
        <f t="shared" si="31"/>
        <v>17830.479145268844</v>
      </c>
      <c r="G335" s="122"/>
      <c r="H335" s="122">
        <f t="shared" si="32"/>
        <v>13668.960367866443</v>
      </c>
      <c r="I335" s="122"/>
      <c r="J335" s="122">
        <f t="shared" si="33"/>
        <v>4161.5187774024016</v>
      </c>
      <c r="K335" s="122">
        <f t="shared" si="34"/>
        <v>610558.85624248069</v>
      </c>
    </row>
    <row r="336" spans="1:11" x14ac:dyDescent="0.25">
      <c r="A336" s="122"/>
      <c r="B336" s="308">
        <f t="shared" ref="B336:B374" si="35">ROUNDUP(C336/12,0)</f>
        <v>27</v>
      </c>
      <c r="C336" s="98">
        <f t="shared" ref="C336:C374" si="36">C335+1</f>
        <v>322</v>
      </c>
      <c r="D336" s="122">
        <f t="shared" ref="D336:D374" si="37">IF(C336&gt;$H$8+$M$7,0,K335)</f>
        <v>610558.85624248069</v>
      </c>
      <c r="F336" s="122">
        <f t="shared" ref="F336:F374" si="38">-IF(AND($M$6&gt;0,C336&lt;=$M$7),-$F$10*$F$6,PMT($F$10,$H$8,$F$6,,0))*IF(C336&gt;$H$8+$M$7,0,1)</f>
        <v>17830.479145268844</v>
      </c>
      <c r="G336" s="122"/>
      <c r="H336" s="122">
        <f t="shared" ref="H336:H374" si="39">IF(AND($M$6&gt;0,C336&lt;=$M$7),0,D336-K336)</f>
        <v>13760.086770318798</v>
      </c>
      <c r="I336" s="122"/>
      <c r="J336" s="122">
        <f t="shared" ref="J336:J374" si="40">F336-H336</f>
        <v>4070.3923749500464</v>
      </c>
      <c r="K336" s="122">
        <f t="shared" ref="K336:K374" si="41">-FV($F$10,1,-F336,D336)</f>
        <v>596798.76947216189</v>
      </c>
    </row>
    <row r="337" spans="1:11" x14ac:dyDescent="0.25">
      <c r="A337" s="122"/>
      <c r="B337" s="308">
        <f t="shared" si="35"/>
        <v>27</v>
      </c>
      <c r="C337" s="98">
        <f t="shared" si="36"/>
        <v>323</v>
      </c>
      <c r="D337" s="122">
        <f t="shared" si="37"/>
        <v>596798.76947216189</v>
      </c>
      <c r="F337" s="122">
        <f t="shared" si="38"/>
        <v>17830.479145268844</v>
      </c>
      <c r="G337" s="122"/>
      <c r="H337" s="122">
        <f t="shared" si="39"/>
        <v>13851.820682120975</v>
      </c>
      <c r="I337" s="122"/>
      <c r="J337" s="122">
        <f t="shared" si="40"/>
        <v>3978.658463147869</v>
      </c>
      <c r="K337" s="122">
        <f t="shared" si="41"/>
        <v>582946.94879004091</v>
      </c>
    </row>
    <row r="338" spans="1:11" x14ac:dyDescent="0.25">
      <c r="A338" s="122"/>
      <c r="B338" s="308">
        <f t="shared" si="35"/>
        <v>27</v>
      </c>
      <c r="C338" s="98">
        <f t="shared" si="36"/>
        <v>324</v>
      </c>
      <c r="D338" s="122">
        <f t="shared" si="37"/>
        <v>582946.94879004091</v>
      </c>
      <c r="F338" s="122">
        <f t="shared" si="38"/>
        <v>17830.479145268844</v>
      </c>
      <c r="G338" s="122"/>
      <c r="H338" s="122">
        <f t="shared" si="39"/>
        <v>13944.166153335129</v>
      </c>
      <c r="I338" s="122"/>
      <c r="J338" s="122">
        <f t="shared" si="40"/>
        <v>3886.3129919337152</v>
      </c>
      <c r="K338" s="122">
        <f t="shared" si="41"/>
        <v>569002.78263670579</v>
      </c>
    </row>
    <row r="339" spans="1:11" x14ac:dyDescent="0.25">
      <c r="A339" s="122"/>
      <c r="B339" s="308">
        <f t="shared" si="35"/>
        <v>28</v>
      </c>
      <c r="C339" s="98">
        <f t="shared" si="36"/>
        <v>325</v>
      </c>
      <c r="D339" s="122">
        <f t="shared" si="37"/>
        <v>569002.78263670579</v>
      </c>
      <c r="F339" s="122">
        <f t="shared" si="38"/>
        <v>17830.479145268844</v>
      </c>
      <c r="G339" s="122"/>
      <c r="H339" s="122">
        <f t="shared" si="39"/>
        <v>14037.127261023968</v>
      </c>
      <c r="I339" s="122"/>
      <c r="J339" s="122">
        <f t="shared" si="40"/>
        <v>3793.3518842448757</v>
      </c>
      <c r="K339" s="122">
        <f t="shared" si="41"/>
        <v>554965.65537568182</v>
      </c>
    </row>
    <row r="340" spans="1:11" x14ac:dyDescent="0.25">
      <c r="A340" s="122"/>
      <c r="B340" s="308">
        <f t="shared" si="35"/>
        <v>28</v>
      </c>
      <c r="C340" s="98">
        <f t="shared" si="36"/>
        <v>326</v>
      </c>
      <c r="D340" s="122">
        <f t="shared" si="37"/>
        <v>554965.65537568182</v>
      </c>
      <c r="F340" s="122">
        <f t="shared" si="38"/>
        <v>17830.479145268844</v>
      </c>
      <c r="G340" s="122"/>
      <c r="H340" s="122">
        <f t="shared" si="39"/>
        <v>14130.708109430852</v>
      </c>
      <c r="I340" s="122"/>
      <c r="J340" s="122">
        <f t="shared" si="40"/>
        <v>3699.7710358379918</v>
      </c>
      <c r="K340" s="122">
        <f t="shared" si="41"/>
        <v>540834.94726625097</v>
      </c>
    </row>
    <row r="341" spans="1:11" x14ac:dyDescent="0.25">
      <c r="A341" s="122"/>
      <c r="B341" s="308">
        <f t="shared" si="35"/>
        <v>28</v>
      </c>
      <c r="C341" s="98">
        <f t="shared" si="36"/>
        <v>327</v>
      </c>
      <c r="D341" s="122">
        <f t="shared" si="37"/>
        <v>540834.94726625097</v>
      </c>
      <c r="F341" s="122">
        <f t="shared" si="38"/>
        <v>17830.479145268844</v>
      </c>
      <c r="G341" s="122"/>
      <c r="H341" s="122">
        <f t="shared" si="39"/>
        <v>14224.912830160349</v>
      </c>
      <c r="I341" s="122"/>
      <c r="J341" s="122">
        <f t="shared" si="40"/>
        <v>3605.5663151084955</v>
      </c>
      <c r="K341" s="122">
        <f t="shared" si="41"/>
        <v>526610.03443609062</v>
      </c>
    </row>
    <row r="342" spans="1:11" x14ac:dyDescent="0.25">
      <c r="A342" s="122"/>
      <c r="B342" s="308">
        <f t="shared" si="35"/>
        <v>28</v>
      </c>
      <c r="C342" s="98">
        <f t="shared" si="36"/>
        <v>328</v>
      </c>
      <c r="D342" s="122">
        <f t="shared" si="37"/>
        <v>526610.03443609062</v>
      </c>
      <c r="F342" s="122">
        <f t="shared" si="38"/>
        <v>17830.479145268844</v>
      </c>
      <c r="G342" s="122"/>
      <c r="H342" s="122">
        <f t="shared" si="39"/>
        <v>14319.745582361473</v>
      </c>
      <c r="I342" s="122"/>
      <c r="J342" s="122">
        <f t="shared" si="40"/>
        <v>3510.7335629073714</v>
      </c>
      <c r="K342" s="122">
        <f t="shared" si="41"/>
        <v>512290.28885372914</v>
      </c>
    </row>
    <row r="343" spans="1:11" x14ac:dyDescent="0.25">
      <c r="A343" s="122"/>
      <c r="B343" s="308">
        <f t="shared" si="35"/>
        <v>28</v>
      </c>
      <c r="C343" s="98">
        <f t="shared" si="36"/>
        <v>329</v>
      </c>
      <c r="D343" s="122">
        <f t="shared" si="37"/>
        <v>512290.28885372914</v>
      </c>
      <c r="F343" s="122">
        <f t="shared" si="38"/>
        <v>17830.479145268844</v>
      </c>
      <c r="G343" s="122"/>
      <c r="H343" s="122">
        <f t="shared" si="39"/>
        <v>14415.210552910517</v>
      </c>
      <c r="I343" s="122"/>
      <c r="J343" s="122">
        <f t="shared" si="40"/>
        <v>3415.2685923583267</v>
      </c>
      <c r="K343" s="122">
        <f t="shared" si="41"/>
        <v>497875.07830081863</v>
      </c>
    </row>
    <row r="344" spans="1:11" x14ac:dyDescent="0.25">
      <c r="A344" s="122"/>
      <c r="B344" s="308">
        <f t="shared" si="35"/>
        <v>28</v>
      </c>
      <c r="C344" s="98">
        <f t="shared" si="36"/>
        <v>330</v>
      </c>
      <c r="D344" s="122">
        <f t="shared" si="37"/>
        <v>497875.07830081863</v>
      </c>
      <c r="F344" s="122">
        <f t="shared" si="38"/>
        <v>17830.479145268844</v>
      </c>
      <c r="G344" s="122"/>
      <c r="H344" s="122">
        <f t="shared" si="39"/>
        <v>14511.311956596561</v>
      </c>
      <c r="I344" s="122"/>
      <c r="J344" s="122">
        <f t="shared" si="40"/>
        <v>3319.1671886722834</v>
      </c>
      <c r="K344" s="122">
        <f t="shared" si="41"/>
        <v>483363.76634422207</v>
      </c>
    </row>
    <row r="345" spans="1:11" x14ac:dyDescent="0.25">
      <c r="A345" s="122"/>
      <c r="B345" s="308">
        <f t="shared" si="35"/>
        <v>28</v>
      </c>
      <c r="C345" s="98">
        <f t="shared" si="36"/>
        <v>331</v>
      </c>
      <c r="D345" s="122">
        <f t="shared" si="37"/>
        <v>483363.76634422207</v>
      </c>
      <c r="F345" s="122">
        <f t="shared" si="38"/>
        <v>17830.479145268844</v>
      </c>
      <c r="G345" s="122"/>
      <c r="H345" s="122">
        <f t="shared" si="39"/>
        <v>14608.054036307207</v>
      </c>
      <c r="I345" s="122"/>
      <c r="J345" s="122">
        <f t="shared" si="40"/>
        <v>3222.4251089616373</v>
      </c>
      <c r="K345" s="122">
        <f t="shared" si="41"/>
        <v>468755.71230791486</v>
      </c>
    </row>
    <row r="346" spans="1:11" x14ac:dyDescent="0.25">
      <c r="A346" s="122"/>
      <c r="B346" s="308">
        <f t="shared" si="35"/>
        <v>28</v>
      </c>
      <c r="C346" s="98">
        <f t="shared" si="36"/>
        <v>332</v>
      </c>
      <c r="D346" s="122">
        <f t="shared" si="37"/>
        <v>468755.71230791486</v>
      </c>
      <c r="F346" s="122">
        <f t="shared" si="38"/>
        <v>17830.479145268844</v>
      </c>
      <c r="G346" s="122"/>
      <c r="H346" s="122">
        <f t="shared" si="39"/>
        <v>14705.441063215956</v>
      </c>
      <c r="I346" s="122"/>
      <c r="J346" s="122">
        <f t="shared" si="40"/>
        <v>3125.0380820528881</v>
      </c>
      <c r="K346" s="122">
        <f t="shared" si="41"/>
        <v>454050.2712446989</v>
      </c>
    </row>
    <row r="347" spans="1:11" x14ac:dyDescent="0.25">
      <c r="A347" s="122"/>
      <c r="B347" s="308">
        <f t="shared" si="35"/>
        <v>28</v>
      </c>
      <c r="C347" s="98">
        <f t="shared" si="36"/>
        <v>333</v>
      </c>
      <c r="D347" s="122">
        <f t="shared" si="37"/>
        <v>454050.2712446989</v>
      </c>
      <c r="F347" s="122">
        <f t="shared" si="38"/>
        <v>17830.479145268844</v>
      </c>
      <c r="G347" s="122"/>
      <c r="H347" s="122">
        <f t="shared" si="39"/>
        <v>14803.47733697074</v>
      </c>
      <c r="I347" s="122"/>
      <c r="J347" s="122">
        <f t="shared" si="40"/>
        <v>3027.0018082981042</v>
      </c>
      <c r="K347" s="122">
        <f t="shared" si="41"/>
        <v>439246.79390772816</v>
      </c>
    </row>
    <row r="348" spans="1:11" x14ac:dyDescent="0.25">
      <c r="A348" s="122"/>
      <c r="B348" s="308">
        <f t="shared" si="35"/>
        <v>28</v>
      </c>
      <c r="C348" s="98">
        <f t="shared" si="36"/>
        <v>334</v>
      </c>
      <c r="D348" s="122">
        <f t="shared" si="37"/>
        <v>439246.79390772816</v>
      </c>
      <c r="F348" s="122">
        <f t="shared" si="38"/>
        <v>17830.479145268844</v>
      </c>
      <c r="G348" s="122"/>
      <c r="H348" s="122">
        <f t="shared" si="39"/>
        <v>14902.167185883853</v>
      </c>
      <c r="I348" s="122"/>
      <c r="J348" s="122">
        <f t="shared" si="40"/>
        <v>2928.3119593849915</v>
      </c>
      <c r="K348" s="122">
        <f t="shared" si="41"/>
        <v>424344.62672184431</v>
      </c>
    </row>
    <row r="349" spans="1:11" x14ac:dyDescent="0.25">
      <c r="A349" s="122"/>
      <c r="B349" s="308">
        <f t="shared" si="35"/>
        <v>28</v>
      </c>
      <c r="C349" s="98">
        <f t="shared" si="36"/>
        <v>335</v>
      </c>
      <c r="D349" s="122">
        <f t="shared" si="37"/>
        <v>424344.62672184431</v>
      </c>
      <c r="F349" s="122">
        <f t="shared" si="38"/>
        <v>17830.479145268844</v>
      </c>
      <c r="G349" s="122"/>
      <c r="H349" s="122">
        <f t="shared" si="39"/>
        <v>15001.514967123105</v>
      </c>
      <c r="I349" s="122"/>
      <c r="J349" s="122">
        <f t="shared" si="40"/>
        <v>2828.9641781457394</v>
      </c>
      <c r="K349" s="122">
        <f t="shared" si="41"/>
        <v>409343.11175472121</v>
      </c>
    </row>
    <row r="350" spans="1:11" x14ac:dyDescent="0.25">
      <c r="A350" s="122"/>
      <c r="B350" s="308">
        <f t="shared" si="35"/>
        <v>28</v>
      </c>
      <c r="C350" s="98">
        <f t="shared" si="36"/>
        <v>336</v>
      </c>
      <c r="D350" s="122">
        <f t="shared" si="37"/>
        <v>409343.11175472121</v>
      </c>
      <c r="F350" s="122">
        <f t="shared" si="38"/>
        <v>17830.479145268844</v>
      </c>
      <c r="G350" s="122"/>
      <c r="H350" s="122">
        <f t="shared" si="39"/>
        <v>15101.525066903909</v>
      </c>
      <c r="I350" s="122"/>
      <c r="J350" s="122">
        <f t="shared" si="40"/>
        <v>2728.9540783649354</v>
      </c>
      <c r="K350" s="122">
        <f t="shared" si="41"/>
        <v>394241.5866878173</v>
      </c>
    </row>
    <row r="351" spans="1:11" x14ac:dyDescent="0.25">
      <c r="A351" s="122"/>
      <c r="B351" s="308">
        <f t="shared" si="35"/>
        <v>29</v>
      </c>
      <c r="C351" s="98">
        <f t="shared" si="36"/>
        <v>337</v>
      </c>
      <c r="D351" s="122">
        <f t="shared" si="37"/>
        <v>394241.5866878173</v>
      </c>
      <c r="F351" s="122">
        <f t="shared" si="38"/>
        <v>17830.479145268844</v>
      </c>
      <c r="G351" s="122"/>
      <c r="H351" s="122">
        <f t="shared" si="39"/>
        <v>15202.201900683227</v>
      </c>
      <c r="I351" s="122"/>
      <c r="J351" s="122">
        <f t="shared" si="40"/>
        <v>2628.2772445856172</v>
      </c>
      <c r="K351" s="122">
        <f t="shared" si="41"/>
        <v>379039.38478713407</v>
      </c>
    </row>
    <row r="352" spans="1:11" x14ac:dyDescent="0.25">
      <c r="A352" s="122"/>
      <c r="B352" s="308">
        <f t="shared" si="35"/>
        <v>29</v>
      </c>
      <c r="C352" s="98">
        <f t="shared" si="36"/>
        <v>338</v>
      </c>
      <c r="D352" s="122">
        <f t="shared" si="37"/>
        <v>379039.38478713407</v>
      </c>
      <c r="F352" s="122">
        <f t="shared" si="38"/>
        <v>17830.479145268844</v>
      </c>
      <c r="G352" s="122"/>
      <c r="H352" s="122">
        <f t="shared" si="39"/>
        <v>15303.549913354451</v>
      </c>
      <c r="I352" s="122"/>
      <c r="J352" s="122">
        <f t="shared" si="40"/>
        <v>2526.9292319143933</v>
      </c>
      <c r="K352" s="122">
        <f t="shared" si="41"/>
        <v>363735.83487377962</v>
      </c>
    </row>
    <row r="353" spans="1:11" x14ac:dyDescent="0.25">
      <c r="A353" s="122"/>
      <c r="B353" s="308">
        <f t="shared" si="35"/>
        <v>29</v>
      </c>
      <c r="C353" s="98">
        <f t="shared" si="36"/>
        <v>339</v>
      </c>
      <c r="D353" s="122">
        <f t="shared" si="37"/>
        <v>363735.83487377962</v>
      </c>
      <c r="F353" s="122">
        <f t="shared" si="38"/>
        <v>17830.479145268844</v>
      </c>
      <c r="G353" s="122"/>
      <c r="H353" s="122">
        <f t="shared" si="39"/>
        <v>15405.573579443502</v>
      </c>
      <c r="I353" s="122"/>
      <c r="J353" s="122">
        <f t="shared" si="40"/>
        <v>2424.9055658253419</v>
      </c>
      <c r="K353" s="122">
        <f t="shared" si="41"/>
        <v>348330.26129433612</v>
      </c>
    </row>
    <row r="354" spans="1:11" x14ac:dyDescent="0.25">
      <c r="A354" s="122"/>
      <c r="B354" s="308">
        <f t="shared" si="35"/>
        <v>29</v>
      </c>
      <c r="C354" s="98">
        <f t="shared" si="36"/>
        <v>340</v>
      </c>
      <c r="D354" s="122">
        <f t="shared" si="37"/>
        <v>348330.26129433612</v>
      </c>
      <c r="F354" s="122">
        <f t="shared" si="38"/>
        <v>17830.479145268844</v>
      </c>
      <c r="G354" s="122"/>
      <c r="H354" s="122">
        <f t="shared" si="39"/>
        <v>15508.277403306449</v>
      </c>
      <c r="I354" s="122"/>
      <c r="J354" s="122">
        <f t="shared" si="40"/>
        <v>2322.2017419623953</v>
      </c>
      <c r="K354" s="122">
        <f t="shared" si="41"/>
        <v>332821.98389102967</v>
      </c>
    </row>
    <row r="355" spans="1:11" x14ac:dyDescent="0.25">
      <c r="A355" s="122"/>
      <c r="B355" s="308">
        <f t="shared" si="35"/>
        <v>29</v>
      </c>
      <c r="C355" s="98">
        <f t="shared" si="36"/>
        <v>341</v>
      </c>
      <c r="D355" s="122">
        <f t="shared" si="37"/>
        <v>332821.98389102967</v>
      </c>
      <c r="F355" s="122">
        <f t="shared" si="38"/>
        <v>17830.479145268844</v>
      </c>
      <c r="G355" s="122"/>
      <c r="H355" s="122">
        <f t="shared" si="39"/>
        <v>15611.665919328516</v>
      </c>
      <c r="I355" s="122"/>
      <c r="J355" s="122">
        <f t="shared" si="40"/>
        <v>2218.8132259403283</v>
      </c>
      <c r="K355" s="122">
        <f t="shared" si="41"/>
        <v>317210.31797170115</v>
      </c>
    </row>
    <row r="356" spans="1:11" x14ac:dyDescent="0.25">
      <c r="A356" s="122"/>
      <c r="B356" s="308">
        <f t="shared" si="35"/>
        <v>29</v>
      </c>
      <c r="C356" s="98">
        <f t="shared" si="36"/>
        <v>342</v>
      </c>
      <c r="D356" s="122">
        <f t="shared" si="37"/>
        <v>317210.31797170115</v>
      </c>
      <c r="F356" s="122">
        <f t="shared" si="38"/>
        <v>17830.479145268844</v>
      </c>
      <c r="G356" s="122"/>
      <c r="H356" s="122">
        <f t="shared" si="39"/>
        <v>15715.74369212403</v>
      </c>
      <c r="I356" s="122"/>
      <c r="J356" s="122">
        <f t="shared" si="40"/>
        <v>2114.7354531448145</v>
      </c>
      <c r="K356" s="122">
        <f t="shared" si="41"/>
        <v>301494.57427957712</v>
      </c>
    </row>
    <row r="357" spans="1:11" x14ac:dyDescent="0.25">
      <c r="A357" s="122"/>
      <c r="B357" s="308">
        <f t="shared" si="35"/>
        <v>29</v>
      </c>
      <c r="C357" s="98">
        <f t="shared" si="36"/>
        <v>343</v>
      </c>
      <c r="D357" s="122">
        <f t="shared" si="37"/>
        <v>301494.57427957712</v>
      </c>
      <c r="F357" s="122">
        <f t="shared" si="38"/>
        <v>17830.479145268844</v>
      </c>
      <c r="G357" s="122"/>
      <c r="H357" s="122">
        <f t="shared" si="39"/>
        <v>15820.515316738165</v>
      </c>
      <c r="I357" s="122"/>
      <c r="J357" s="122">
        <f t="shared" si="40"/>
        <v>2009.9638285306792</v>
      </c>
      <c r="K357" s="122">
        <f t="shared" si="41"/>
        <v>285674.05896283896</v>
      </c>
    </row>
    <row r="358" spans="1:11" x14ac:dyDescent="0.25">
      <c r="A358" s="122"/>
      <c r="B358" s="308">
        <f t="shared" si="35"/>
        <v>29</v>
      </c>
      <c r="C358" s="98">
        <f t="shared" si="36"/>
        <v>344</v>
      </c>
      <c r="D358" s="122">
        <f t="shared" si="37"/>
        <v>285674.05896283896</v>
      </c>
      <c r="F358" s="122">
        <f t="shared" si="38"/>
        <v>17830.479145268844</v>
      </c>
      <c r="G358" s="122"/>
      <c r="H358" s="122">
        <f t="shared" si="39"/>
        <v>15925.985418849741</v>
      </c>
      <c r="I358" s="122"/>
      <c r="J358" s="122">
        <f t="shared" si="40"/>
        <v>1904.493726419103</v>
      </c>
      <c r="K358" s="122">
        <f t="shared" si="41"/>
        <v>269748.07354398922</v>
      </c>
    </row>
    <row r="359" spans="1:11" x14ac:dyDescent="0.25">
      <c r="A359" s="122"/>
      <c r="B359" s="308">
        <f t="shared" si="35"/>
        <v>29</v>
      </c>
      <c r="C359" s="98">
        <f t="shared" si="36"/>
        <v>345</v>
      </c>
      <c r="D359" s="122">
        <f t="shared" si="37"/>
        <v>269748.07354398922</v>
      </c>
      <c r="F359" s="122">
        <f t="shared" si="38"/>
        <v>17830.479145268844</v>
      </c>
      <c r="G359" s="122"/>
      <c r="H359" s="122">
        <f t="shared" si="39"/>
        <v>16032.158654975385</v>
      </c>
      <c r="I359" s="122"/>
      <c r="J359" s="122">
        <f t="shared" si="40"/>
        <v>1798.3204902934594</v>
      </c>
      <c r="K359" s="122">
        <f t="shared" si="41"/>
        <v>253715.91488901383</v>
      </c>
    </row>
    <row r="360" spans="1:11" x14ac:dyDescent="0.25">
      <c r="A360" s="122"/>
      <c r="B360" s="308">
        <f t="shared" si="35"/>
        <v>29</v>
      </c>
      <c r="C360" s="98">
        <f t="shared" si="36"/>
        <v>346</v>
      </c>
      <c r="D360" s="122">
        <f t="shared" si="37"/>
        <v>253715.91488901383</v>
      </c>
      <c r="F360" s="122">
        <f t="shared" si="38"/>
        <v>17830.479145268844</v>
      </c>
      <c r="G360" s="122"/>
      <c r="H360" s="122">
        <f t="shared" si="39"/>
        <v>16139.039712675236</v>
      </c>
      <c r="I360" s="122"/>
      <c r="J360" s="122">
        <f t="shared" si="40"/>
        <v>1691.4394325936082</v>
      </c>
      <c r="K360" s="122">
        <f t="shared" si="41"/>
        <v>237576.8751763386</v>
      </c>
    </row>
    <row r="361" spans="1:11" x14ac:dyDescent="0.25">
      <c r="A361" s="122"/>
      <c r="B361" s="308">
        <f t="shared" si="35"/>
        <v>29</v>
      </c>
      <c r="C361" s="98">
        <f t="shared" si="36"/>
        <v>347</v>
      </c>
      <c r="D361" s="122">
        <f t="shared" si="37"/>
        <v>237576.8751763386</v>
      </c>
      <c r="F361" s="122">
        <f t="shared" si="38"/>
        <v>17830.479145268844</v>
      </c>
      <c r="G361" s="122"/>
      <c r="H361" s="122">
        <f t="shared" si="39"/>
        <v>16246.633310759731</v>
      </c>
      <c r="I361" s="122"/>
      <c r="J361" s="122">
        <f t="shared" si="40"/>
        <v>1583.845834509113</v>
      </c>
      <c r="K361" s="122">
        <f t="shared" si="41"/>
        <v>221330.24186557886</v>
      </c>
    </row>
    <row r="362" spans="1:11" x14ac:dyDescent="0.25">
      <c r="A362" s="122"/>
      <c r="B362" s="308">
        <f t="shared" si="35"/>
        <v>29</v>
      </c>
      <c r="C362" s="98">
        <f t="shared" si="36"/>
        <v>348</v>
      </c>
      <c r="D362" s="122">
        <f t="shared" si="37"/>
        <v>221330.24186557886</v>
      </c>
      <c r="F362" s="122">
        <f t="shared" si="38"/>
        <v>17830.479145268844</v>
      </c>
      <c r="G362" s="122"/>
      <c r="H362" s="122">
        <f t="shared" si="39"/>
        <v>16354.944199498132</v>
      </c>
      <c r="I362" s="122"/>
      <c r="J362" s="122">
        <f t="shared" si="40"/>
        <v>1475.5349457707125</v>
      </c>
      <c r="K362" s="122">
        <f t="shared" si="41"/>
        <v>204975.29766608073</v>
      </c>
    </row>
    <row r="363" spans="1:11" x14ac:dyDescent="0.25">
      <c r="A363" s="122"/>
      <c r="B363" s="308">
        <f t="shared" si="35"/>
        <v>30</v>
      </c>
      <c r="C363" s="98">
        <f t="shared" si="36"/>
        <v>349</v>
      </c>
      <c r="D363" s="122">
        <f t="shared" si="37"/>
        <v>204975.29766608073</v>
      </c>
      <c r="F363" s="122">
        <f t="shared" si="38"/>
        <v>17830.479145268844</v>
      </c>
      <c r="G363" s="122"/>
      <c r="H363" s="122">
        <f t="shared" si="39"/>
        <v>16463.97716082813</v>
      </c>
      <c r="I363" s="122"/>
      <c r="J363" s="122">
        <f t="shared" si="40"/>
        <v>1366.5019844407143</v>
      </c>
      <c r="K363" s="122">
        <f t="shared" si="41"/>
        <v>188511.3205052526</v>
      </c>
    </row>
    <row r="364" spans="1:11" x14ac:dyDescent="0.25">
      <c r="B364" s="308">
        <f t="shared" si="35"/>
        <v>30</v>
      </c>
      <c r="C364" s="98">
        <f t="shared" si="36"/>
        <v>350</v>
      </c>
      <c r="D364" s="122">
        <f t="shared" si="37"/>
        <v>188511.3205052526</v>
      </c>
      <c r="F364" s="122">
        <f t="shared" si="38"/>
        <v>17830.479145268844</v>
      </c>
      <c r="G364" s="122"/>
      <c r="H364" s="122">
        <f t="shared" si="39"/>
        <v>16573.737008566968</v>
      </c>
      <c r="I364" s="122"/>
      <c r="J364" s="122">
        <f t="shared" si="40"/>
        <v>1256.742136701876</v>
      </c>
      <c r="K364" s="122">
        <f t="shared" si="41"/>
        <v>171937.58349668563</v>
      </c>
    </row>
    <row r="365" spans="1:11" x14ac:dyDescent="0.25">
      <c r="B365" s="308">
        <f t="shared" si="35"/>
        <v>30</v>
      </c>
      <c r="C365" s="98">
        <f t="shared" si="36"/>
        <v>351</v>
      </c>
      <c r="D365" s="122">
        <f t="shared" si="37"/>
        <v>171937.58349668563</v>
      </c>
      <c r="F365" s="122">
        <f t="shared" si="38"/>
        <v>17830.479145268844</v>
      </c>
      <c r="G365" s="122"/>
      <c r="H365" s="122">
        <f t="shared" si="39"/>
        <v>16684.228588624101</v>
      </c>
      <c r="I365" s="122"/>
      <c r="J365" s="122">
        <f t="shared" si="40"/>
        <v>1146.2505566447435</v>
      </c>
      <c r="K365" s="122">
        <f t="shared" si="41"/>
        <v>155253.35490806153</v>
      </c>
    </row>
    <row r="366" spans="1:11" x14ac:dyDescent="0.25">
      <c r="B366" s="308">
        <f t="shared" si="35"/>
        <v>30</v>
      </c>
      <c r="C366" s="98">
        <f t="shared" si="36"/>
        <v>352</v>
      </c>
      <c r="D366" s="122">
        <f t="shared" si="37"/>
        <v>155253.35490806153</v>
      </c>
      <c r="F366" s="122">
        <f t="shared" si="38"/>
        <v>17830.479145268844</v>
      </c>
      <c r="G366" s="122"/>
      <c r="H366" s="122">
        <f t="shared" si="39"/>
        <v>16795.456779214903</v>
      </c>
      <c r="I366" s="122"/>
      <c r="J366" s="122">
        <f t="shared" si="40"/>
        <v>1035.0223660539414</v>
      </c>
      <c r="K366" s="122">
        <f t="shared" si="41"/>
        <v>138457.89812884663</v>
      </c>
    </row>
    <row r="367" spans="1:11" x14ac:dyDescent="0.25">
      <c r="B367" s="308">
        <f t="shared" si="35"/>
        <v>30</v>
      </c>
      <c r="C367" s="98">
        <f t="shared" si="36"/>
        <v>353</v>
      </c>
      <c r="D367" s="122">
        <f t="shared" si="37"/>
        <v>138457.89812884663</v>
      </c>
      <c r="F367" s="122">
        <f t="shared" si="38"/>
        <v>17830.479145268844</v>
      </c>
      <c r="G367" s="122"/>
      <c r="H367" s="122">
        <f t="shared" si="39"/>
        <v>16907.426491076374</v>
      </c>
      <c r="I367" s="122"/>
      <c r="J367" s="122">
        <f t="shared" si="40"/>
        <v>923.05265419247007</v>
      </c>
      <c r="K367" s="122">
        <f t="shared" si="41"/>
        <v>121550.47163777026</v>
      </c>
    </row>
    <row r="368" spans="1:11" x14ac:dyDescent="0.25">
      <c r="B368" s="308">
        <f t="shared" si="35"/>
        <v>30</v>
      </c>
      <c r="C368" s="98">
        <f t="shared" si="36"/>
        <v>354</v>
      </c>
      <c r="D368" s="122">
        <f t="shared" si="37"/>
        <v>121550.47163777026</v>
      </c>
      <c r="F368" s="122">
        <f t="shared" si="38"/>
        <v>17830.479145268844</v>
      </c>
      <c r="G368" s="122"/>
      <c r="H368" s="122">
        <f t="shared" si="39"/>
        <v>17020.14266768354</v>
      </c>
      <c r="I368" s="122"/>
      <c r="J368" s="122">
        <f t="shared" si="40"/>
        <v>810.33647758530424</v>
      </c>
      <c r="K368" s="122">
        <f t="shared" si="41"/>
        <v>104530.32897008672</v>
      </c>
    </row>
    <row r="369" spans="2:11" x14ac:dyDescent="0.25">
      <c r="B369" s="308">
        <f t="shared" si="35"/>
        <v>30</v>
      </c>
      <c r="C369" s="98">
        <f t="shared" si="36"/>
        <v>355</v>
      </c>
      <c r="D369" s="122">
        <f t="shared" si="37"/>
        <v>104530.32897008672</v>
      </c>
      <c r="F369" s="122">
        <f t="shared" si="38"/>
        <v>17830.479145268844</v>
      </c>
      <c r="G369" s="122"/>
      <c r="H369" s="122">
        <f t="shared" si="39"/>
        <v>17133.610285468094</v>
      </c>
      <c r="I369" s="122"/>
      <c r="J369" s="122">
        <f t="shared" si="40"/>
        <v>696.86885980075022</v>
      </c>
      <c r="K369" s="122">
        <f t="shared" si="41"/>
        <v>87396.718684618623</v>
      </c>
    </row>
    <row r="370" spans="2:11" x14ac:dyDescent="0.25">
      <c r="B370" s="308">
        <f t="shared" si="35"/>
        <v>30</v>
      </c>
      <c r="C370" s="98">
        <f t="shared" si="36"/>
        <v>356</v>
      </c>
      <c r="D370" s="122">
        <f t="shared" si="37"/>
        <v>87396.718684618623</v>
      </c>
      <c r="F370" s="122">
        <f t="shared" si="38"/>
        <v>17830.479145268844</v>
      </c>
      <c r="G370" s="122"/>
      <c r="H370" s="122">
        <f t="shared" si="39"/>
        <v>17247.834354037885</v>
      </c>
      <c r="I370" s="122"/>
      <c r="J370" s="122">
        <f t="shared" si="40"/>
        <v>582.64479123095953</v>
      </c>
      <c r="K370" s="122">
        <f t="shared" si="41"/>
        <v>70148.884330580739</v>
      </c>
    </row>
    <row r="371" spans="2:11" x14ac:dyDescent="0.25">
      <c r="B371" s="308">
        <f t="shared" si="35"/>
        <v>30</v>
      </c>
      <c r="C371" s="98">
        <f t="shared" si="36"/>
        <v>357</v>
      </c>
      <c r="D371" s="122">
        <f t="shared" si="37"/>
        <v>70148.884330580739</v>
      </c>
      <c r="F371" s="122">
        <f t="shared" si="38"/>
        <v>17830.479145268844</v>
      </c>
      <c r="G371" s="122"/>
      <c r="H371" s="122">
        <f t="shared" si="39"/>
        <v>17362.819916398134</v>
      </c>
      <c r="I371" s="122"/>
      <c r="J371" s="122">
        <f t="shared" si="40"/>
        <v>467.65922887071065</v>
      </c>
      <c r="K371" s="122">
        <f t="shared" si="41"/>
        <v>52786.064414182605</v>
      </c>
    </row>
    <row r="372" spans="2:11" x14ac:dyDescent="0.25">
      <c r="B372" s="308">
        <f t="shared" si="35"/>
        <v>30</v>
      </c>
      <c r="C372" s="98">
        <f t="shared" si="36"/>
        <v>358</v>
      </c>
      <c r="D372" s="122">
        <f t="shared" si="37"/>
        <v>52786.064414182605</v>
      </c>
      <c r="F372" s="122">
        <f t="shared" si="38"/>
        <v>17830.479145268844</v>
      </c>
      <c r="G372" s="122"/>
      <c r="H372" s="122">
        <f t="shared" si="39"/>
        <v>17478.572049174109</v>
      </c>
      <c r="I372" s="122"/>
      <c r="J372" s="122">
        <f t="shared" si="40"/>
        <v>351.90709609473561</v>
      </c>
      <c r="K372" s="122">
        <f t="shared" si="41"/>
        <v>35307.492365008497</v>
      </c>
    </row>
    <row r="373" spans="2:11" x14ac:dyDescent="0.25">
      <c r="B373" s="308">
        <f t="shared" si="35"/>
        <v>30</v>
      </c>
      <c r="C373" s="98">
        <f t="shared" si="36"/>
        <v>359</v>
      </c>
      <c r="D373" s="122">
        <f t="shared" si="37"/>
        <v>35307.492365008497</v>
      </c>
      <c r="F373" s="122">
        <f t="shared" si="38"/>
        <v>17830.479145268844</v>
      </c>
      <c r="G373" s="122"/>
      <c r="H373" s="122">
        <f t="shared" si="39"/>
        <v>17595.095862835271</v>
      </c>
      <c r="I373" s="122"/>
      <c r="J373" s="122">
        <f t="shared" si="40"/>
        <v>235.38328243357319</v>
      </c>
      <c r="K373" s="122">
        <f t="shared" si="41"/>
        <v>17712.396502173226</v>
      </c>
    </row>
    <row r="374" spans="2:11" x14ac:dyDescent="0.25">
      <c r="B374" s="308">
        <f t="shared" si="35"/>
        <v>30</v>
      </c>
      <c r="C374" s="98">
        <f t="shared" si="36"/>
        <v>360</v>
      </c>
      <c r="D374" s="122">
        <f t="shared" si="37"/>
        <v>17712.396502173226</v>
      </c>
      <c r="F374" s="122">
        <f t="shared" si="38"/>
        <v>17830.479145268844</v>
      </c>
      <c r="G374" s="122"/>
      <c r="H374" s="122">
        <f t="shared" si="39"/>
        <v>17712.396501920837</v>
      </c>
      <c r="I374" s="122"/>
      <c r="J374" s="122">
        <f t="shared" si="40"/>
        <v>118.08264334800697</v>
      </c>
      <c r="K374" s="122">
        <f t="shared" si="41"/>
        <v>2.5238841772079468E-7</v>
      </c>
    </row>
  </sheetData>
  <mergeCells count="4">
    <mergeCell ref="H6:J6"/>
    <mergeCell ref="M6:N6"/>
    <mergeCell ref="M7:N7"/>
    <mergeCell ref="H8:J8"/>
  </mergeCells>
  <conditionalFormatting sqref="H12">
    <cfRule type="cellIs" dxfId="11" priority="1" operator="lessThan">
      <formula>$F$6</formula>
    </cfRule>
  </conditionalFormatting>
  <conditionalFormatting sqref="H6:J7">
    <cfRule type="containsText" dxfId="10" priority="3" stopIfTrue="1" operator="containsText" text="Correct">
      <formula>NOT(ISERROR(SEARCH("Correct",H6)))</formula>
    </cfRule>
    <cfRule type="containsText" dxfId="9" priority="4" stopIfTrue="1" operator="containsText" text="OK">
      <formula>NOT(ISERROR(SEARCH("OK",H6)))</formula>
    </cfRule>
    <cfRule type="containsText" dxfId="8" priority="5" stopIfTrue="1" operator="containsText" text="Fix">
      <formula>NOT(ISERROR(SEARCH("Fix",H6)))</formula>
    </cfRule>
    <cfRule type="containsText" dxfId="7" priority="6" stopIfTrue="1" operator="containsText" text="OK">
      <formula>NOT(ISERROR(SEARCH("OK",H6)))</formula>
    </cfRule>
    <cfRule type="containsText" dxfId="6" priority="7" stopIfTrue="1" operator="containsText" text="Fix">
      <formula>NOT(ISERROR(SEARCH("Fix",H6)))</formula>
    </cfRule>
  </conditionalFormatting>
  <hyperlinks>
    <hyperlink ref="A1" location="'Table of Contents'!A1" display="Table of Contents" xr:uid="{7EED9541-993C-4071-8B7D-387578981DA3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4044F-8D9F-4091-90C9-F699454E239E}">
  <dimension ref="A1:Z374"/>
  <sheetViews>
    <sheetView showGridLines="0" zoomScale="85" zoomScaleNormal="85" workbookViewId="0">
      <selection activeCell="E15" sqref="E15"/>
    </sheetView>
  </sheetViews>
  <sheetFormatPr defaultColWidth="10.5703125" defaultRowHeight="15.75" x14ac:dyDescent="0.25"/>
  <cols>
    <col min="1" max="1" width="3.42578125" style="99" customWidth="1"/>
    <col min="2" max="2" width="10.5703125" style="98"/>
    <col min="3" max="3" width="21.5703125" style="99" customWidth="1"/>
    <col min="4" max="4" width="2.5703125" style="99" customWidth="1"/>
    <col min="5" max="5" width="16.85546875" style="99" customWidth="1"/>
    <col min="6" max="6" width="2.5703125" style="99" customWidth="1"/>
    <col min="7" max="7" width="13.85546875" style="99" customWidth="1"/>
    <col min="8" max="8" width="2.5703125" style="99" customWidth="1"/>
    <col min="9" max="9" width="12" style="99" customWidth="1"/>
    <col min="10" max="10" width="13" style="99" customWidth="1"/>
    <col min="11" max="11" width="11.42578125" style="99" bestFit="1" customWidth="1"/>
    <col min="12" max="12" width="12.7109375" style="99" customWidth="1"/>
    <col min="13" max="13" width="21.42578125" style="99" customWidth="1"/>
    <col min="14" max="14" width="14" style="99" bestFit="1" customWidth="1"/>
    <col min="15" max="18" width="10.5703125" style="99"/>
    <col min="19" max="19" width="14.42578125" style="99" customWidth="1"/>
    <col min="20" max="20" width="11.7109375" style="99" bestFit="1" customWidth="1"/>
    <col min="21" max="21" width="15.140625" style="99" customWidth="1"/>
    <col min="22" max="16384" width="10.5703125" style="99"/>
  </cols>
  <sheetData>
    <row r="1" spans="1:26" x14ac:dyDescent="0.25">
      <c r="A1" s="97" t="s">
        <v>105</v>
      </c>
    </row>
    <row r="2" spans="1:26" ht="30.75" customHeight="1" x14ac:dyDescent="0.25">
      <c r="B2" s="100"/>
      <c r="C2" s="101"/>
      <c r="D2" s="101"/>
      <c r="E2" s="101"/>
    </row>
    <row r="3" spans="1:26" ht="30.75" customHeight="1" thickBot="1" x14ac:dyDescent="0.3">
      <c r="B3" s="100"/>
      <c r="C3" s="101"/>
      <c r="D3" s="101"/>
      <c r="E3" s="101"/>
    </row>
    <row r="4" spans="1:26" ht="30.75" customHeight="1" thickBot="1" x14ac:dyDescent="0.3">
      <c r="B4" s="125" t="s">
        <v>172</v>
      </c>
      <c r="C4" s="102"/>
      <c r="D4" s="102"/>
      <c r="E4" s="102"/>
      <c r="F4" s="103"/>
      <c r="G4" s="103"/>
      <c r="H4" s="103"/>
      <c r="I4" s="103"/>
      <c r="J4" s="103"/>
      <c r="K4" s="103"/>
      <c r="L4" s="103"/>
      <c r="M4" s="103"/>
      <c r="N4" s="104"/>
    </row>
    <row r="6" spans="1:26" x14ac:dyDescent="0.25">
      <c r="C6" s="99" t="s">
        <v>155</v>
      </c>
      <c r="E6" s="105">
        <f>'2.Dashboard'!$H$36</f>
        <v>0</v>
      </c>
      <c r="F6" s="106"/>
      <c r="G6" s="394" t="str">
        <f>IF(E6-ROUND(G12,0)=0,"Repayment Correct", "FIX REPAYMENT")</f>
        <v>Repayment Correct</v>
      </c>
      <c r="H6" s="394"/>
      <c r="I6" s="394"/>
      <c r="J6" s="108" t="s">
        <v>156</v>
      </c>
      <c r="K6" s="108"/>
      <c r="L6" s="395">
        <v>0</v>
      </c>
      <c r="M6" s="395"/>
    </row>
    <row r="7" spans="1:26" x14ac:dyDescent="0.25">
      <c r="C7" s="99" t="s">
        <v>157</v>
      </c>
      <c r="E7" s="109">
        <f>'2.Dashboard'!$H$38</f>
        <v>15</v>
      </c>
      <c r="F7" s="106"/>
      <c r="G7" s="107"/>
      <c r="H7" s="107"/>
      <c r="I7" s="107"/>
      <c r="J7" s="108" t="s">
        <v>158</v>
      </c>
      <c r="K7" s="108"/>
      <c r="L7" s="396">
        <f>L6*12</f>
        <v>0</v>
      </c>
      <c r="M7" s="396"/>
    </row>
    <row r="8" spans="1:26" x14ac:dyDescent="0.25">
      <c r="C8" s="99" t="s">
        <v>159</v>
      </c>
      <c r="E8" s="109">
        <f>E7-L6</f>
        <v>15</v>
      </c>
      <c r="F8" s="110"/>
      <c r="G8" s="397">
        <f>E8*12</f>
        <v>180</v>
      </c>
      <c r="H8" s="397"/>
      <c r="I8" s="397"/>
      <c r="J8" s="111" t="s">
        <v>160</v>
      </c>
    </row>
    <row r="9" spans="1:26" x14ac:dyDescent="0.25">
      <c r="C9" s="99" t="s">
        <v>161</v>
      </c>
      <c r="E9" s="112">
        <f>'2.Dashboard'!$H$37</f>
        <v>0.04</v>
      </c>
      <c r="F9" s="113"/>
    </row>
    <row r="10" spans="1:26" x14ac:dyDescent="0.25">
      <c r="C10" s="99" t="s">
        <v>162</v>
      </c>
      <c r="E10" s="112">
        <f>E9/12</f>
        <v>3.3333333333333335E-3</v>
      </c>
    </row>
    <row r="11" spans="1:26" ht="16.5" thickBot="1" x14ac:dyDescent="0.3">
      <c r="E11" s="112"/>
    </row>
    <row r="12" spans="1:26" ht="16.5" thickBot="1" x14ac:dyDescent="0.3">
      <c r="C12" s="101" t="s">
        <v>163</v>
      </c>
      <c r="D12" s="101"/>
      <c r="E12" s="114">
        <f>SUM(E15:E374)</f>
        <v>0</v>
      </c>
      <c r="F12" s="101"/>
      <c r="G12" s="115">
        <f>ROUND(SUM(G15:G374),0)</f>
        <v>0</v>
      </c>
      <c r="H12" s="101"/>
      <c r="I12" s="115">
        <f>SUM(I15:I374)</f>
        <v>0</v>
      </c>
      <c r="M12" s="116" t="s">
        <v>168</v>
      </c>
      <c r="N12" s="129"/>
    </row>
    <row r="13" spans="1:26" ht="16.5" thickBot="1" x14ac:dyDescent="0.3">
      <c r="G13" s="105"/>
      <c r="M13" s="126" t="s">
        <v>108</v>
      </c>
      <c r="N13" s="130">
        <f>$E$15</f>
        <v>0</v>
      </c>
    </row>
    <row r="14" spans="1:26" s="117" customFormat="1" ht="32.25" thickBot="1" x14ac:dyDescent="0.3">
      <c r="B14" s="118" t="s">
        <v>58</v>
      </c>
      <c r="C14" s="119" t="s">
        <v>106</v>
      </c>
      <c r="D14" s="119"/>
      <c r="E14" s="119" t="s">
        <v>164</v>
      </c>
      <c r="F14" s="119"/>
      <c r="G14" s="119" t="s">
        <v>165</v>
      </c>
      <c r="H14" s="119"/>
      <c r="I14" s="119" t="s">
        <v>166</v>
      </c>
      <c r="J14" s="120" t="s">
        <v>107</v>
      </c>
      <c r="M14" s="127" t="s">
        <v>169</v>
      </c>
      <c r="N14" s="131">
        <f>COUNT(C15:C374)-COUNTIF(C15:C374,0)</f>
        <v>0</v>
      </c>
      <c r="R14" s="121"/>
      <c r="S14" s="121"/>
      <c r="T14" s="121"/>
      <c r="U14" s="121"/>
      <c r="V14" s="121"/>
      <c r="W14" s="121"/>
      <c r="X14" s="121"/>
      <c r="Y14" s="121"/>
    </row>
    <row r="15" spans="1:26" x14ac:dyDescent="0.25">
      <c r="A15" s="122"/>
      <c r="B15" s="123">
        <v>1</v>
      </c>
      <c r="C15" s="122">
        <f>E6</f>
        <v>0</v>
      </c>
      <c r="E15" s="122">
        <f>IFERROR(-IF(AND($L$6&gt;0,B15&lt;=$L$7),-$E$10*$E$6,PMT($E$10,$G$8,$E$6))*IF(B15&gt;$G$8+$L$7,0,1),0)</f>
        <v>0</v>
      </c>
      <c r="F15" s="122"/>
      <c r="G15" s="122">
        <f>IF(AND($L$6&gt;0,B15&lt;=$L$7),0,C15-J15)</f>
        <v>0</v>
      </c>
      <c r="H15" s="122"/>
      <c r="I15" s="122">
        <f>E15-G15</f>
        <v>0</v>
      </c>
      <c r="J15" s="122">
        <f>-FV($E$10,1,-E15,C15)</f>
        <v>0</v>
      </c>
      <c r="M15" s="127" t="s">
        <v>170</v>
      </c>
      <c r="N15" s="133">
        <f>$G$12</f>
        <v>0</v>
      </c>
      <c r="R15" s="121"/>
      <c r="S15" s="121"/>
      <c r="T15" s="121"/>
      <c r="U15" s="121"/>
      <c r="V15" s="121"/>
      <c r="W15" s="121"/>
      <c r="X15" s="121"/>
      <c r="Y15" s="121"/>
    </row>
    <row r="16" spans="1:26" ht="16.5" thickBot="1" x14ac:dyDescent="0.3">
      <c r="A16" s="122"/>
      <c r="B16" s="98">
        <f t="shared" ref="B16:B79" si="0">B15+1</f>
        <v>2</v>
      </c>
      <c r="C16" s="122">
        <f t="shared" ref="C16:C79" si="1">IF(B16&gt;$G$8+$L$7,0,J15)</f>
        <v>0</v>
      </c>
      <c r="E16" s="122">
        <f t="shared" ref="E16:E79" si="2">IFERROR(-IF(AND($L$6&gt;0,B16&lt;=$L$7),-$E$10*$E$6,PMT($E$10,$G$8,$E$6))*IF(B16&gt;$G$8+$L$7,0,1),0)</f>
        <v>0</v>
      </c>
      <c r="F16" s="122"/>
      <c r="G16" s="122">
        <f t="shared" ref="G16:G79" si="3">IF(AND($L$6&gt;0,B16&lt;=$L$7),0,C16-J16)</f>
        <v>0</v>
      </c>
      <c r="H16" s="122"/>
      <c r="I16" s="122">
        <f t="shared" ref="I16:I79" si="4">E16-G16</f>
        <v>0</v>
      </c>
      <c r="J16" s="122">
        <f t="shared" ref="J16:J79" si="5">-FV($E$10,1,-E16,C16)</f>
        <v>0</v>
      </c>
      <c r="M16" s="128" t="s">
        <v>109</v>
      </c>
      <c r="N16" s="132">
        <f>$I$12</f>
        <v>0</v>
      </c>
      <c r="S16" s="121"/>
      <c r="T16" s="121"/>
      <c r="U16" s="121"/>
      <c r="V16" s="121"/>
      <c r="W16" s="121"/>
      <c r="X16" s="121"/>
      <c r="Y16" s="121"/>
      <c r="Z16" s="121"/>
    </row>
    <row r="17" spans="1:26" x14ac:dyDescent="0.25">
      <c r="A17" s="122"/>
      <c r="B17" s="98">
        <f t="shared" si="0"/>
        <v>3</v>
      </c>
      <c r="C17" s="122">
        <f t="shared" si="1"/>
        <v>0</v>
      </c>
      <c r="E17" s="122">
        <f t="shared" si="2"/>
        <v>0</v>
      </c>
      <c r="F17" s="122"/>
      <c r="G17" s="122">
        <f t="shared" si="3"/>
        <v>0</v>
      </c>
      <c r="H17" s="122"/>
      <c r="I17" s="122">
        <f t="shared" si="4"/>
        <v>0</v>
      </c>
      <c r="J17" s="122">
        <f t="shared" si="5"/>
        <v>0</v>
      </c>
      <c r="S17" s="121"/>
      <c r="T17" s="121"/>
      <c r="U17" s="121"/>
      <c r="V17" s="121"/>
      <c r="W17" s="121"/>
      <c r="X17" s="121"/>
      <c r="Y17" s="121"/>
      <c r="Z17" s="121"/>
    </row>
    <row r="18" spans="1:26" x14ac:dyDescent="0.25">
      <c r="A18" s="122"/>
      <c r="B18" s="98">
        <f t="shared" si="0"/>
        <v>4</v>
      </c>
      <c r="C18" s="122">
        <f t="shared" si="1"/>
        <v>0</v>
      </c>
      <c r="E18" s="122">
        <f t="shared" si="2"/>
        <v>0</v>
      </c>
      <c r="F18" s="122"/>
      <c r="G18" s="122">
        <f t="shared" si="3"/>
        <v>0</v>
      </c>
      <c r="H18" s="122"/>
      <c r="I18" s="122">
        <f t="shared" si="4"/>
        <v>0</v>
      </c>
      <c r="J18" s="122">
        <f t="shared" si="5"/>
        <v>0</v>
      </c>
      <c r="S18" s="121"/>
      <c r="T18" s="121"/>
      <c r="U18" s="121"/>
      <c r="V18" s="121"/>
      <c r="W18" s="121"/>
      <c r="X18" s="121"/>
      <c r="Y18" s="121"/>
      <c r="Z18" s="121"/>
    </row>
    <row r="19" spans="1:26" x14ac:dyDescent="0.25">
      <c r="A19" s="122"/>
      <c r="B19" s="98">
        <f t="shared" si="0"/>
        <v>5</v>
      </c>
      <c r="C19" s="122">
        <f t="shared" si="1"/>
        <v>0</v>
      </c>
      <c r="E19" s="122">
        <f t="shared" si="2"/>
        <v>0</v>
      </c>
      <c r="F19" s="122"/>
      <c r="G19" s="122">
        <f t="shared" si="3"/>
        <v>0</v>
      </c>
      <c r="H19" s="122"/>
      <c r="I19" s="122">
        <f t="shared" si="4"/>
        <v>0</v>
      </c>
      <c r="J19" s="122">
        <f t="shared" si="5"/>
        <v>0</v>
      </c>
      <c r="S19" s="121"/>
      <c r="T19" s="121"/>
      <c r="U19" s="121"/>
      <c r="V19" s="121"/>
      <c r="W19" s="121"/>
      <c r="X19" s="121"/>
      <c r="Y19" s="121"/>
      <c r="Z19" s="121"/>
    </row>
    <row r="20" spans="1:26" x14ac:dyDescent="0.25">
      <c r="A20" s="122"/>
      <c r="B20" s="98">
        <f t="shared" si="0"/>
        <v>6</v>
      </c>
      <c r="C20" s="122">
        <f t="shared" si="1"/>
        <v>0</v>
      </c>
      <c r="E20" s="122">
        <f t="shared" si="2"/>
        <v>0</v>
      </c>
      <c r="F20" s="122"/>
      <c r="G20" s="122">
        <f t="shared" si="3"/>
        <v>0</v>
      </c>
      <c r="H20" s="122"/>
      <c r="I20" s="122">
        <f t="shared" si="4"/>
        <v>0</v>
      </c>
      <c r="J20" s="122">
        <f t="shared" si="5"/>
        <v>0</v>
      </c>
      <c r="S20" s="121"/>
      <c r="T20" s="121"/>
      <c r="U20" s="121"/>
      <c r="V20" s="121"/>
      <c r="W20" s="121"/>
      <c r="X20" s="121"/>
      <c r="Y20" s="121"/>
      <c r="Z20" s="121"/>
    </row>
    <row r="21" spans="1:26" x14ac:dyDescent="0.25">
      <c r="A21" s="122"/>
      <c r="B21" s="98">
        <f t="shared" si="0"/>
        <v>7</v>
      </c>
      <c r="C21" s="122">
        <f t="shared" si="1"/>
        <v>0</v>
      </c>
      <c r="E21" s="122">
        <f t="shared" si="2"/>
        <v>0</v>
      </c>
      <c r="F21" s="122"/>
      <c r="G21" s="122">
        <f t="shared" si="3"/>
        <v>0</v>
      </c>
      <c r="H21" s="122"/>
      <c r="I21" s="122">
        <f t="shared" si="4"/>
        <v>0</v>
      </c>
      <c r="J21" s="122">
        <f t="shared" si="5"/>
        <v>0</v>
      </c>
      <c r="S21" s="121"/>
      <c r="T21" s="121"/>
      <c r="U21" s="121"/>
      <c r="V21" s="121"/>
      <c r="W21" s="121"/>
      <c r="X21" s="121"/>
      <c r="Y21" s="121"/>
      <c r="Z21" s="121"/>
    </row>
    <row r="22" spans="1:26" x14ac:dyDescent="0.25">
      <c r="A22" s="122"/>
      <c r="B22" s="98">
        <f t="shared" si="0"/>
        <v>8</v>
      </c>
      <c r="C22" s="122">
        <f t="shared" si="1"/>
        <v>0</v>
      </c>
      <c r="E22" s="122">
        <f t="shared" si="2"/>
        <v>0</v>
      </c>
      <c r="F22" s="122"/>
      <c r="G22" s="122">
        <f t="shared" si="3"/>
        <v>0</v>
      </c>
      <c r="H22" s="122"/>
      <c r="I22" s="122">
        <f t="shared" si="4"/>
        <v>0</v>
      </c>
      <c r="J22" s="122">
        <f t="shared" si="5"/>
        <v>0</v>
      </c>
      <c r="S22" s="121"/>
      <c r="T22" s="121"/>
      <c r="U22" s="121"/>
      <c r="V22" s="121"/>
      <c r="W22" s="121"/>
      <c r="X22" s="121"/>
      <c r="Y22" s="121"/>
      <c r="Z22" s="121"/>
    </row>
    <row r="23" spans="1:26" x14ac:dyDescent="0.25">
      <c r="A23" s="122"/>
      <c r="B23" s="98">
        <f t="shared" si="0"/>
        <v>9</v>
      </c>
      <c r="C23" s="122">
        <f t="shared" si="1"/>
        <v>0</v>
      </c>
      <c r="E23" s="122">
        <f t="shared" si="2"/>
        <v>0</v>
      </c>
      <c r="F23" s="122"/>
      <c r="G23" s="122">
        <f t="shared" si="3"/>
        <v>0</v>
      </c>
      <c r="H23" s="122"/>
      <c r="I23" s="122">
        <f t="shared" si="4"/>
        <v>0</v>
      </c>
      <c r="J23" s="122">
        <f t="shared" si="5"/>
        <v>0</v>
      </c>
      <c r="S23" s="121"/>
      <c r="T23" s="121"/>
      <c r="U23" s="121"/>
      <c r="V23" s="121"/>
      <c r="W23" s="121"/>
      <c r="X23" s="121"/>
      <c r="Y23" s="121"/>
      <c r="Z23" s="121"/>
    </row>
    <row r="24" spans="1:26" x14ac:dyDescent="0.25">
      <c r="A24" s="122"/>
      <c r="B24" s="98">
        <f t="shared" si="0"/>
        <v>10</v>
      </c>
      <c r="C24" s="122">
        <f t="shared" si="1"/>
        <v>0</v>
      </c>
      <c r="E24" s="122">
        <f t="shared" si="2"/>
        <v>0</v>
      </c>
      <c r="F24" s="122"/>
      <c r="G24" s="122">
        <f t="shared" si="3"/>
        <v>0</v>
      </c>
      <c r="H24" s="122"/>
      <c r="I24" s="122">
        <f t="shared" si="4"/>
        <v>0</v>
      </c>
      <c r="J24" s="122">
        <f t="shared" si="5"/>
        <v>0</v>
      </c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A25" s="122"/>
      <c r="B25" s="98">
        <f t="shared" si="0"/>
        <v>11</v>
      </c>
      <c r="C25" s="122">
        <f t="shared" si="1"/>
        <v>0</v>
      </c>
      <c r="E25" s="122">
        <f t="shared" si="2"/>
        <v>0</v>
      </c>
      <c r="F25" s="122"/>
      <c r="G25" s="122">
        <f t="shared" si="3"/>
        <v>0</v>
      </c>
      <c r="H25" s="122"/>
      <c r="I25" s="122">
        <f t="shared" si="4"/>
        <v>0</v>
      </c>
      <c r="J25" s="122">
        <f t="shared" si="5"/>
        <v>0</v>
      </c>
      <c r="S25" s="121"/>
      <c r="T25" s="121"/>
      <c r="U25" s="121"/>
      <c r="V25" s="121"/>
      <c r="W25" s="121"/>
      <c r="X25" s="121"/>
      <c r="Y25" s="121"/>
      <c r="Z25" s="121"/>
    </row>
    <row r="26" spans="1:26" x14ac:dyDescent="0.25">
      <c r="A26" s="122"/>
      <c r="B26" s="98">
        <f t="shared" si="0"/>
        <v>12</v>
      </c>
      <c r="C26" s="122">
        <f t="shared" si="1"/>
        <v>0</v>
      </c>
      <c r="E26" s="122">
        <f t="shared" si="2"/>
        <v>0</v>
      </c>
      <c r="F26" s="122"/>
      <c r="G26" s="122">
        <f t="shared" si="3"/>
        <v>0</v>
      </c>
      <c r="H26" s="122"/>
      <c r="I26" s="122">
        <f t="shared" si="4"/>
        <v>0</v>
      </c>
      <c r="J26" s="122">
        <f t="shared" si="5"/>
        <v>0</v>
      </c>
      <c r="S26" s="121"/>
      <c r="T26" s="121"/>
      <c r="U26" s="121"/>
      <c r="V26" s="121"/>
      <c r="W26" s="121"/>
      <c r="X26" s="121"/>
      <c r="Y26" s="121"/>
      <c r="Z26" s="121"/>
    </row>
    <row r="27" spans="1:26" x14ac:dyDescent="0.25">
      <c r="A27" s="122"/>
      <c r="B27" s="98">
        <f t="shared" si="0"/>
        <v>13</v>
      </c>
      <c r="C27" s="122">
        <f t="shared" si="1"/>
        <v>0</v>
      </c>
      <c r="E27" s="122">
        <f t="shared" si="2"/>
        <v>0</v>
      </c>
      <c r="F27" s="122"/>
      <c r="G27" s="122">
        <f t="shared" si="3"/>
        <v>0</v>
      </c>
      <c r="H27" s="122"/>
      <c r="I27" s="122">
        <f t="shared" si="4"/>
        <v>0</v>
      </c>
      <c r="J27" s="122">
        <f t="shared" si="5"/>
        <v>0</v>
      </c>
      <c r="S27" s="121"/>
      <c r="T27" s="121"/>
      <c r="U27" s="121"/>
      <c r="V27" s="121"/>
      <c r="W27" s="121"/>
      <c r="X27" s="121"/>
      <c r="Y27" s="121"/>
      <c r="Z27" s="121"/>
    </row>
    <row r="28" spans="1:26" x14ac:dyDescent="0.25">
      <c r="A28" s="122"/>
      <c r="B28" s="98">
        <f t="shared" si="0"/>
        <v>14</v>
      </c>
      <c r="C28" s="122">
        <f t="shared" si="1"/>
        <v>0</v>
      </c>
      <c r="E28" s="122">
        <f t="shared" si="2"/>
        <v>0</v>
      </c>
      <c r="F28" s="122"/>
      <c r="G28" s="122">
        <f t="shared" si="3"/>
        <v>0</v>
      </c>
      <c r="H28" s="122"/>
      <c r="I28" s="122">
        <f t="shared" si="4"/>
        <v>0</v>
      </c>
      <c r="J28" s="122">
        <f t="shared" si="5"/>
        <v>0</v>
      </c>
      <c r="S28" s="121"/>
      <c r="T28" s="121"/>
      <c r="U28" s="121"/>
      <c r="V28" s="121"/>
      <c r="W28" s="121"/>
      <c r="X28" s="121"/>
      <c r="Y28" s="121"/>
      <c r="Z28" s="121"/>
    </row>
    <row r="29" spans="1:26" x14ac:dyDescent="0.25">
      <c r="A29" s="122"/>
      <c r="B29" s="98">
        <f t="shared" si="0"/>
        <v>15</v>
      </c>
      <c r="C29" s="122">
        <f t="shared" si="1"/>
        <v>0</v>
      </c>
      <c r="E29" s="122">
        <f t="shared" si="2"/>
        <v>0</v>
      </c>
      <c r="F29" s="122"/>
      <c r="G29" s="122">
        <f t="shared" si="3"/>
        <v>0</v>
      </c>
      <c r="H29" s="122"/>
      <c r="I29" s="122">
        <f t="shared" si="4"/>
        <v>0</v>
      </c>
      <c r="J29" s="122">
        <f t="shared" si="5"/>
        <v>0</v>
      </c>
      <c r="S29" s="121"/>
      <c r="T29" s="121"/>
      <c r="U29" s="121"/>
      <c r="V29" s="121"/>
      <c r="W29" s="121"/>
      <c r="X29" s="121"/>
      <c r="Y29" s="121"/>
      <c r="Z29" s="121"/>
    </row>
    <row r="30" spans="1:26" x14ac:dyDescent="0.25">
      <c r="A30" s="122"/>
      <c r="B30" s="98">
        <f t="shared" si="0"/>
        <v>16</v>
      </c>
      <c r="C30" s="122">
        <f t="shared" si="1"/>
        <v>0</v>
      </c>
      <c r="E30" s="122">
        <f t="shared" si="2"/>
        <v>0</v>
      </c>
      <c r="F30" s="122"/>
      <c r="G30" s="122">
        <f t="shared" si="3"/>
        <v>0</v>
      </c>
      <c r="H30" s="122"/>
      <c r="I30" s="122">
        <f t="shared" si="4"/>
        <v>0</v>
      </c>
      <c r="J30" s="122">
        <f t="shared" si="5"/>
        <v>0</v>
      </c>
      <c r="S30" s="121"/>
      <c r="T30" s="121"/>
      <c r="U30" s="121"/>
      <c r="V30" s="121"/>
      <c r="W30" s="121"/>
      <c r="X30" s="121"/>
      <c r="Y30" s="121"/>
      <c r="Z30" s="121"/>
    </row>
    <row r="31" spans="1:26" x14ac:dyDescent="0.25">
      <c r="A31" s="122"/>
      <c r="B31" s="98">
        <f t="shared" si="0"/>
        <v>17</v>
      </c>
      <c r="C31" s="122">
        <f t="shared" si="1"/>
        <v>0</v>
      </c>
      <c r="E31" s="122">
        <f t="shared" si="2"/>
        <v>0</v>
      </c>
      <c r="F31" s="122"/>
      <c r="G31" s="122">
        <f t="shared" si="3"/>
        <v>0</v>
      </c>
      <c r="H31" s="122"/>
      <c r="I31" s="122">
        <f t="shared" si="4"/>
        <v>0</v>
      </c>
      <c r="J31" s="122">
        <f t="shared" si="5"/>
        <v>0</v>
      </c>
      <c r="S31" s="121"/>
      <c r="T31" s="121"/>
      <c r="U31" s="121"/>
      <c r="V31" s="121"/>
      <c r="W31" s="121"/>
      <c r="X31" s="121"/>
      <c r="Y31" s="121"/>
      <c r="Z31" s="121"/>
    </row>
    <row r="32" spans="1:26" x14ac:dyDescent="0.25">
      <c r="A32" s="122"/>
      <c r="B32" s="98">
        <f t="shared" si="0"/>
        <v>18</v>
      </c>
      <c r="C32" s="122">
        <f t="shared" si="1"/>
        <v>0</v>
      </c>
      <c r="E32" s="122">
        <f t="shared" si="2"/>
        <v>0</v>
      </c>
      <c r="F32" s="122"/>
      <c r="G32" s="122">
        <f t="shared" si="3"/>
        <v>0</v>
      </c>
      <c r="H32" s="122"/>
      <c r="I32" s="122">
        <f t="shared" si="4"/>
        <v>0</v>
      </c>
      <c r="J32" s="122">
        <f t="shared" si="5"/>
        <v>0</v>
      </c>
      <c r="S32" s="121"/>
      <c r="T32" s="121"/>
      <c r="U32" s="121"/>
      <c r="V32" s="121"/>
      <c r="W32" s="121"/>
      <c r="X32" s="121"/>
      <c r="Y32" s="121"/>
      <c r="Z32" s="121"/>
    </row>
    <row r="33" spans="1:10" x14ac:dyDescent="0.25">
      <c r="A33" s="122"/>
      <c r="B33" s="98">
        <f t="shared" si="0"/>
        <v>19</v>
      </c>
      <c r="C33" s="122">
        <f t="shared" si="1"/>
        <v>0</v>
      </c>
      <c r="E33" s="122">
        <f t="shared" si="2"/>
        <v>0</v>
      </c>
      <c r="F33" s="122"/>
      <c r="G33" s="122">
        <f t="shared" si="3"/>
        <v>0</v>
      </c>
      <c r="H33" s="122"/>
      <c r="I33" s="122">
        <f t="shared" si="4"/>
        <v>0</v>
      </c>
      <c r="J33" s="122">
        <f t="shared" si="5"/>
        <v>0</v>
      </c>
    </row>
    <row r="34" spans="1:10" x14ac:dyDescent="0.25">
      <c r="A34" s="122"/>
      <c r="B34" s="98">
        <f t="shared" si="0"/>
        <v>20</v>
      </c>
      <c r="C34" s="122">
        <f t="shared" si="1"/>
        <v>0</v>
      </c>
      <c r="E34" s="122">
        <f t="shared" si="2"/>
        <v>0</v>
      </c>
      <c r="F34" s="122"/>
      <c r="G34" s="122">
        <f t="shared" si="3"/>
        <v>0</v>
      </c>
      <c r="H34" s="122"/>
      <c r="I34" s="122">
        <f t="shared" si="4"/>
        <v>0</v>
      </c>
      <c r="J34" s="122">
        <f t="shared" si="5"/>
        <v>0</v>
      </c>
    </row>
    <row r="35" spans="1:10" x14ac:dyDescent="0.25">
      <c r="A35" s="122"/>
      <c r="B35" s="98">
        <f t="shared" si="0"/>
        <v>21</v>
      </c>
      <c r="C35" s="122">
        <f t="shared" si="1"/>
        <v>0</v>
      </c>
      <c r="E35" s="122">
        <f t="shared" si="2"/>
        <v>0</v>
      </c>
      <c r="F35" s="122"/>
      <c r="G35" s="122">
        <f t="shared" si="3"/>
        <v>0</v>
      </c>
      <c r="H35" s="122"/>
      <c r="I35" s="122">
        <f t="shared" si="4"/>
        <v>0</v>
      </c>
      <c r="J35" s="122">
        <f t="shared" si="5"/>
        <v>0</v>
      </c>
    </row>
    <row r="36" spans="1:10" x14ac:dyDescent="0.25">
      <c r="A36" s="122"/>
      <c r="B36" s="98">
        <f t="shared" si="0"/>
        <v>22</v>
      </c>
      <c r="C36" s="122">
        <f t="shared" si="1"/>
        <v>0</v>
      </c>
      <c r="E36" s="122">
        <f t="shared" si="2"/>
        <v>0</v>
      </c>
      <c r="F36" s="122"/>
      <c r="G36" s="122">
        <f t="shared" si="3"/>
        <v>0</v>
      </c>
      <c r="H36" s="122"/>
      <c r="I36" s="122">
        <f t="shared" si="4"/>
        <v>0</v>
      </c>
      <c r="J36" s="122">
        <f t="shared" si="5"/>
        <v>0</v>
      </c>
    </row>
    <row r="37" spans="1:10" x14ac:dyDescent="0.25">
      <c r="A37" s="122"/>
      <c r="B37" s="98">
        <f t="shared" si="0"/>
        <v>23</v>
      </c>
      <c r="C37" s="122">
        <f t="shared" si="1"/>
        <v>0</v>
      </c>
      <c r="E37" s="122">
        <f t="shared" si="2"/>
        <v>0</v>
      </c>
      <c r="F37" s="122"/>
      <c r="G37" s="122">
        <f t="shared" si="3"/>
        <v>0</v>
      </c>
      <c r="H37" s="122"/>
      <c r="I37" s="122">
        <f t="shared" si="4"/>
        <v>0</v>
      </c>
      <c r="J37" s="122">
        <f t="shared" si="5"/>
        <v>0</v>
      </c>
    </row>
    <row r="38" spans="1:10" x14ac:dyDescent="0.25">
      <c r="A38" s="122"/>
      <c r="B38" s="98">
        <f t="shared" si="0"/>
        <v>24</v>
      </c>
      <c r="C38" s="122">
        <f t="shared" si="1"/>
        <v>0</v>
      </c>
      <c r="E38" s="122">
        <f t="shared" si="2"/>
        <v>0</v>
      </c>
      <c r="F38" s="122"/>
      <c r="G38" s="122">
        <f t="shared" si="3"/>
        <v>0</v>
      </c>
      <c r="H38" s="122"/>
      <c r="I38" s="122">
        <f t="shared" si="4"/>
        <v>0</v>
      </c>
      <c r="J38" s="122">
        <f t="shared" si="5"/>
        <v>0</v>
      </c>
    </row>
    <row r="39" spans="1:10" x14ac:dyDescent="0.25">
      <c r="A39" s="122"/>
      <c r="B39" s="98">
        <f t="shared" si="0"/>
        <v>25</v>
      </c>
      <c r="C39" s="122">
        <f t="shared" si="1"/>
        <v>0</v>
      </c>
      <c r="E39" s="122">
        <f t="shared" si="2"/>
        <v>0</v>
      </c>
      <c r="F39" s="122"/>
      <c r="G39" s="122">
        <f t="shared" si="3"/>
        <v>0</v>
      </c>
      <c r="H39" s="122"/>
      <c r="I39" s="122">
        <f t="shared" si="4"/>
        <v>0</v>
      </c>
      <c r="J39" s="122">
        <f t="shared" si="5"/>
        <v>0</v>
      </c>
    </row>
    <row r="40" spans="1:10" x14ac:dyDescent="0.25">
      <c r="A40" s="122"/>
      <c r="B40" s="98">
        <f t="shared" si="0"/>
        <v>26</v>
      </c>
      <c r="C40" s="122">
        <f t="shared" si="1"/>
        <v>0</v>
      </c>
      <c r="E40" s="122">
        <f t="shared" si="2"/>
        <v>0</v>
      </c>
      <c r="F40" s="122"/>
      <c r="G40" s="122">
        <f t="shared" si="3"/>
        <v>0</v>
      </c>
      <c r="H40" s="122"/>
      <c r="I40" s="122">
        <f t="shared" si="4"/>
        <v>0</v>
      </c>
      <c r="J40" s="122">
        <f t="shared" si="5"/>
        <v>0</v>
      </c>
    </row>
    <row r="41" spans="1:10" x14ac:dyDescent="0.25">
      <c r="A41" s="122"/>
      <c r="B41" s="98">
        <f t="shared" si="0"/>
        <v>27</v>
      </c>
      <c r="C41" s="122">
        <f t="shared" si="1"/>
        <v>0</v>
      </c>
      <c r="E41" s="122">
        <f t="shared" si="2"/>
        <v>0</v>
      </c>
      <c r="F41" s="122"/>
      <c r="G41" s="122">
        <f t="shared" si="3"/>
        <v>0</v>
      </c>
      <c r="H41" s="122"/>
      <c r="I41" s="122">
        <f t="shared" si="4"/>
        <v>0</v>
      </c>
      <c r="J41" s="122">
        <f t="shared" si="5"/>
        <v>0</v>
      </c>
    </row>
    <row r="42" spans="1:10" x14ac:dyDescent="0.25">
      <c r="A42" s="122"/>
      <c r="B42" s="98">
        <f t="shared" si="0"/>
        <v>28</v>
      </c>
      <c r="C42" s="122">
        <f t="shared" si="1"/>
        <v>0</v>
      </c>
      <c r="E42" s="122">
        <f t="shared" si="2"/>
        <v>0</v>
      </c>
      <c r="F42" s="122"/>
      <c r="G42" s="122">
        <f t="shared" si="3"/>
        <v>0</v>
      </c>
      <c r="H42" s="122"/>
      <c r="I42" s="122">
        <f t="shared" si="4"/>
        <v>0</v>
      </c>
      <c r="J42" s="122">
        <f t="shared" si="5"/>
        <v>0</v>
      </c>
    </row>
    <row r="43" spans="1:10" x14ac:dyDescent="0.25">
      <c r="A43" s="122"/>
      <c r="B43" s="98">
        <f t="shared" si="0"/>
        <v>29</v>
      </c>
      <c r="C43" s="122">
        <f t="shared" si="1"/>
        <v>0</v>
      </c>
      <c r="E43" s="122">
        <f t="shared" si="2"/>
        <v>0</v>
      </c>
      <c r="F43" s="122"/>
      <c r="G43" s="122">
        <f t="shared" si="3"/>
        <v>0</v>
      </c>
      <c r="H43" s="122"/>
      <c r="I43" s="122">
        <f t="shared" si="4"/>
        <v>0</v>
      </c>
      <c r="J43" s="122">
        <f t="shared" si="5"/>
        <v>0</v>
      </c>
    </row>
    <row r="44" spans="1:10" x14ac:dyDescent="0.25">
      <c r="A44" s="122"/>
      <c r="B44" s="98">
        <f t="shared" si="0"/>
        <v>30</v>
      </c>
      <c r="C44" s="122">
        <f t="shared" si="1"/>
        <v>0</v>
      </c>
      <c r="E44" s="122">
        <f t="shared" si="2"/>
        <v>0</v>
      </c>
      <c r="F44" s="122"/>
      <c r="G44" s="122">
        <f t="shared" si="3"/>
        <v>0</v>
      </c>
      <c r="H44" s="122"/>
      <c r="I44" s="122">
        <f t="shared" si="4"/>
        <v>0</v>
      </c>
      <c r="J44" s="122">
        <f t="shared" si="5"/>
        <v>0</v>
      </c>
    </row>
    <row r="45" spans="1:10" x14ac:dyDescent="0.25">
      <c r="A45" s="122"/>
      <c r="B45" s="98">
        <f t="shared" si="0"/>
        <v>31</v>
      </c>
      <c r="C45" s="122">
        <f t="shared" si="1"/>
        <v>0</v>
      </c>
      <c r="E45" s="122">
        <f t="shared" si="2"/>
        <v>0</v>
      </c>
      <c r="F45" s="122"/>
      <c r="G45" s="122">
        <f t="shared" si="3"/>
        <v>0</v>
      </c>
      <c r="H45" s="122"/>
      <c r="I45" s="122">
        <f t="shared" si="4"/>
        <v>0</v>
      </c>
      <c r="J45" s="122">
        <f t="shared" si="5"/>
        <v>0</v>
      </c>
    </row>
    <row r="46" spans="1:10" x14ac:dyDescent="0.25">
      <c r="A46" s="122"/>
      <c r="B46" s="98">
        <f t="shared" si="0"/>
        <v>32</v>
      </c>
      <c r="C46" s="122">
        <f t="shared" si="1"/>
        <v>0</v>
      </c>
      <c r="E46" s="122">
        <f t="shared" si="2"/>
        <v>0</v>
      </c>
      <c r="F46" s="122"/>
      <c r="G46" s="122">
        <f t="shared" si="3"/>
        <v>0</v>
      </c>
      <c r="H46" s="122"/>
      <c r="I46" s="122">
        <f t="shared" si="4"/>
        <v>0</v>
      </c>
      <c r="J46" s="122">
        <f t="shared" si="5"/>
        <v>0</v>
      </c>
    </row>
    <row r="47" spans="1:10" x14ac:dyDescent="0.25">
      <c r="A47" s="122"/>
      <c r="B47" s="98">
        <f t="shared" si="0"/>
        <v>33</v>
      </c>
      <c r="C47" s="122">
        <f t="shared" si="1"/>
        <v>0</v>
      </c>
      <c r="E47" s="122">
        <f t="shared" si="2"/>
        <v>0</v>
      </c>
      <c r="F47" s="122"/>
      <c r="G47" s="122">
        <f t="shared" si="3"/>
        <v>0</v>
      </c>
      <c r="H47" s="122"/>
      <c r="I47" s="122">
        <f t="shared" si="4"/>
        <v>0</v>
      </c>
      <c r="J47" s="122">
        <f t="shared" si="5"/>
        <v>0</v>
      </c>
    </row>
    <row r="48" spans="1:10" x14ac:dyDescent="0.25">
      <c r="A48" s="122"/>
      <c r="B48" s="98">
        <f t="shared" si="0"/>
        <v>34</v>
      </c>
      <c r="C48" s="122">
        <f t="shared" si="1"/>
        <v>0</v>
      </c>
      <c r="E48" s="122">
        <f t="shared" si="2"/>
        <v>0</v>
      </c>
      <c r="F48" s="122"/>
      <c r="G48" s="122">
        <f t="shared" si="3"/>
        <v>0</v>
      </c>
      <c r="H48" s="122"/>
      <c r="I48" s="122">
        <f t="shared" si="4"/>
        <v>0</v>
      </c>
      <c r="J48" s="122">
        <f t="shared" si="5"/>
        <v>0</v>
      </c>
    </row>
    <row r="49" spans="1:10" x14ac:dyDescent="0.25">
      <c r="A49" s="122"/>
      <c r="B49" s="98">
        <f t="shared" si="0"/>
        <v>35</v>
      </c>
      <c r="C49" s="122">
        <f t="shared" si="1"/>
        <v>0</v>
      </c>
      <c r="E49" s="122">
        <f t="shared" si="2"/>
        <v>0</v>
      </c>
      <c r="F49" s="122"/>
      <c r="G49" s="122">
        <f t="shared" si="3"/>
        <v>0</v>
      </c>
      <c r="H49" s="122"/>
      <c r="I49" s="122">
        <f t="shared" si="4"/>
        <v>0</v>
      </c>
      <c r="J49" s="122">
        <f t="shared" si="5"/>
        <v>0</v>
      </c>
    </row>
    <row r="50" spans="1:10" x14ac:dyDescent="0.25">
      <c r="A50" s="122"/>
      <c r="B50" s="98">
        <f t="shared" si="0"/>
        <v>36</v>
      </c>
      <c r="C50" s="122">
        <f t="shared" si="1"/>
        <v>0</v>
      </c>
      <c r="E50" s="122">
        <f t="shared" si="2"/>
        <v>0</v>
      </c>
      <c r="F50" s="122"/>
      <c r="G50" s="122">
        <f t="shared" si="3"/>
        <v>0</v>
      </c>
      <c r="H50" s="122"/>
      <c r="I50" s="122">
        <f t="shared" si="4"/>
        <v>0</v>
      </c>
      <c r="J50" s="122">
        <f t="shared" si="5"/>
        <v>0</v>
      </c>
    </row>
    <row r="51" spans="1:10" x14ac:dyDescent="0.25">
      <c r="A51" s="122"/>
      <c r="B51" s="98">
        <f t="shared" si="0"/>
        <v>37</v>
      </c>
      <c r="C51" s="122">
        <f t="shared" si="1"/>
        <v>0</v>
      </c>
      <c r="E51" s="122">
        <f t="shared" si="2"/>
        <v>0</v>
      </c>
      <c r="F51" s="122"/>
      <c r="G51" s="122">
        <f t="shared" si="3"/>
        <v>0</v>
      </c>
      <c r="H51" s="122"/>
      <c r="I51" s="122">
        <f t="shared" si="4"/>
        <v>0</v>
      </c>
      <c r="J51" s="122">
        <f t="shared" si="5"/>
        <v>0</v>
      </c>
    </row>
    <row r="52" spans="1:10" x14ac:dyDescent="0.25">
      <c r="A52" s="122"/>
      <c r="B52" s="98">
        <f t="shared" si="0"/>
        <v>38</v>
      </c>
      <c r="C52" s="122">
        <f t="shared" si="1"/>
        <v>0</v>
      </c>
      <c r="E52" s="122">
        <f t="shared" si="2"/>
        <v>0</v>
      </c>
      <c r="F52" s="122"/>
      <c r="G52" s="122">
        <f t="shared" si="3"/>
        <v>0</v>
      </c>
      <c r="H52" s="122"/>
      <c r="I52" s="122">
        <f t="shared" si="4"/>
        <v>0</v>
      </c>
      <c r="J52" s="122">
        <f t="shared" si="5"/>
        <v>0</v>
      </c>
    </row>
    <row r="53" spans="1:10" x14ac:dyDescent="0.25">
      <c r="A53" s="122"/>
      <c r="B53" s="98">
        <f t="shared" si="0"/>
        <v>39</v>
      </c>
      <c r="C53" s="122">
        <f t="shared" si="1"/>
        <v>0</v>
      </c>
      <c r="E53" s="122">
        <f t="shared" si="2"/>
        <v>0</v>
      </c>
      <c r="F53" s="122"/>
      <c r="G53" s="122">
        <f t="shared" si="3"/>
        <v>0</v>
      </c>
      <c r="H53" s="122"/>
      <c r="I53" s="122">
        <f t="shared" si="4"/>
        <v>0</v>
      </c>
      <c r="J53" s="122">
        <f t="shared" si="5"/>
        <v>0</v>
      </c>
    </row>
    <row r="54" spans="1:10" x14ac:dyDescent="0.25">
      <c r="A54" s="122"/>
      <c r="B54" s="98">
        <f t="shared" si="0"/>
        <v>40</v>
      </c>
      <c r="C54" s="122">
        <f t="shared" si="1"/>
        <v>0</v>
      </c>
      <c r="E54" s="122">
        <f t="shared" si="2"/>
        <v>0</v>
      </c>
      <c r="F54" s="122"/>
      <c r="G54" s="122">
        <f t="shared" si="3"/>
        <v>0</v>
      </c>
      <c r="H54" s="122"/>
      <c r="I54" s="122">
        <f t="shared" si="4"/>
        <v>0</v>
      </c>
      <c r="J54" s="122">
        <f t="shared" si="5"/>
        <v>0</v>
      </c>
    </row>
    <row r="55" spans="1:10" x14ac:dyDescent="0.25">
      <c r="A55" s="122"/>
      <c r="B55" s="98">
        <f t="shared" si="0"/>
        <v>41</v>
      </c>
      <c r="C55" s="122">
        <f t="shared" si="1"/>
        <v>0</v>
      </c>
      <c r="E55" s="122">
        <f t="shared" si="2"/>
        <v>0</v>
      </c>
      <c r="F55" s="122"/>
      <c r="G55" s="122">
        <f t="shared" si="3"/>
        <v>0</v>
      </c>
      <c r="H55" s="122"/>
      <c r="I55" s="122">
        <f t="shared" si="4"/>
        <v>0</v>
      </c>
      <c r="J55" s="122">
        <f t="shared" si="5"/>
        <v>0</v>
      </c>
    </row>
    <row r="56" spans="1:10" x14ac:dyDescent="0.25">
      <c r="A56" s="122"/>
      <c r="B56" s="98">
        <f t="shared" si="0"/>
        <v>42</v>
      </c>
      <c r="C56" s="122">
        <f t="shared" si="1"/>
        <v>0</v>
      </c>
      <c r="E56" s="122">
        <f t="shared" si="2"/>
        <v>0</v>
      </c>
      <c r="F56" s="122"/>
      <c r="G56" s="122">
        <f t="shared" si="3"/>
        <v>0</v>
      </c>
      <c r="H56" s="122"/>
      <c r="I56" s="122">
        <f t="shared" si="4"/>
        <v>0</v>
      </c>
      <c r="J56" s="122">
        <f t="shared" si="5"/>
        <v>0</v>
      </c>
    </row>
    <row r="57" spans="1:10" x14ac:dyDescent="0.25">
      <c r="A57" s="122"/>
      <c r="B57" s="98">
        <f t="shared" si="0"/>
        <v>43</v>
      </c>
      <c r="C57" s="122">
        <f t="shared" si="1"/>
        <v>0</v>
      </c>
      <c r="E57" s="122">
        <f t="shared" si="2"/>
        <v>0</v>
      </c>
      <c r="F57" s="122"/>
      <c r="G57" s="122">
        <f t="shared" si="3"/>
        <v>0</v>
      </c>
      <c r="H57" s="122"/>
      <c r="I57" s="122">
        <f t="shared" si="4"/>
        <v>0</v>
      </c>
      <c r="J57" s="122">
        <f t="shared" si="5"/>
        <v>0</v>
      </c>
    </row>
    <row r="58" spans="1:10" x14ac:dyDescent="0.25">
      <c r="A58" s="122"/>
      <c r="B58" s="98">
        <f t="shared" si="0"/>
        <v>44</v>
      </c>
      <c r="C58" s="122">
        <f t="shared" si="1"/>
        <v>0</v>
      </c>
      <c r="E58" s="122">
        <f t="shared" si="2"/>
        <v>0</v>
      </c>
      <c r="F58" s="122"/>
      <c r="G58" s="122">
        <f t="shared" si="3"/>
        <v>0</v>
      </c>
      <c r="H58" s="122"/>
      <c r="I58" s="122">
        <f t="shared" si="4"/>
        <v>0</v>
      </c>
      <c r="J58" s="122">
        <f t="shared" si="5"/>
        <v>0</v>
      </c>
    </row>
    <row r="59" spans="1:10" x14ac:dyDescent="0.25">
      <c r="A59" s="122"/>
      <c r="B59" s="98">
        <f t="shared" si="0"/>
        <v>45</v>
      </c>
      <c r="C59" s="122">
        <f t="shared" si="1"/>
        <v>0</v>
      </c>
      <c r="E59" s="122">
        <f t="shared" si="2"/>
        <v>0</v>
      </c>
      <c r="F59" s="122"/>
      <c r="G59" s="122">
        <f t="shared" si="3"/>
        <v>0</v>
      </c>
      <c r="H59" s="122"/>
      <c r="I59" s="122">
        <f t="shared" si="4"/>
        <v>0</v>
      </c>
      <c r="J59" s="122">
        <f t="shared" si="5"/>
        <v>0</v>
      </c>
    </row>
    <row r="60" spans="1:10" x14ac:dyDescent="0.25">
      <c r="A60" s="122"/>
      <c r="B60" s="98">
        <f t="shared" si="0"/>
        <v>46</v>
      </c>
      <c r="C60" s="122">
        <f t="shared" si="1"/>
        <v>0</v>
      </c>
      <c r="E60" s="122">
        <f t="shared" si="2"/>
        <v>0</v>
      </c>
      <c r="F60" s="122"/>
      <c r="G60" s="122">
        <f t="shared" si="3"/>
        <v>0</v>
      </c>
      <c r="H60" s="122"/>
      <c r="I60" s="122">
        <f t="shared" si="4"/>
        <v>0</v>
      </c>
      <c r="J60" s="122">
        <f t="shared" si="5"/>
        <v>0</v>
      </c>
    </row>
    <row r="61" spans="1:10" x14ac:dyDescent="0.25">
      <c r="A61" s="122"/>
      <c r="B61" s="98">
        <f t="shared" si="0"/>
        <v>47</v>
      </c>
      <c r="C61" s="122">
        <f t="shared" si="1"/>
        <v>0</v>
      </c>
      <c r="E61" s="122">
        <f t="shared" si="2"/>
        <v>0</v>
      </c>
      <c r="F61" s="122"/>
      <c r="G61" s="122">
        <f t="shared" si="3"/>
        <v>0</v>
      </c>
      <c r="H61" s="122"/>
      <c r="I61" s="122">
        <f t="shared" si="4"/>
        <v>0</v>
      </c>
      <c r="J61" s="122">
        <f t="shared" si="5"/>
        <v>0</v>
      </c>
    </row>
    <row r="62" spans="1:10" x14ac:dyDescent="0.25">
      <c r="A62" s="122"/>
      <c r="B62" s="98">
        <f t="shared" si="0"/>
        <v>48</v>
      </c>
      <c r="C62" s="122">
        <f t="shared" si="1"/>
        <v>0</v>
      </c>
      <c r="E62" s="122">
        <f t="shared" si="2"/>
        <v>0</v>
      </c>
      <c r="F62" s="122"/>
      <c r="G62" s="122">
        <f t="shared" si="3"/>
        <v>0</v>
      </c>
      <c r="H62" s="122"/>
      <c r="I62" s="122">
        <f t="shared" si="4"/>
        <v>0</v>
      </c>
      <c r="J62" s="122">
        <f t="shared" si="5"/>
        <v>0</v>
      </c>
    </row>
    <row r="63" spans="1:10" x14ac:dyDescent="0.25">
      <c r="A63" s="122"/>
      <c r="B63" s="98">
        <f t="shared" si="0"/>
        <v>49</v>
      </c>
      <c r="C63" s="122">
        <f t="shared" si="1"/>
        <v>0</v>
      </c>
      <c r="E63" s="122">
        <f t="shared" si="2"/>
        <v>0</v>
      </c>
      <c r="F63" s="122"/>
      <c r="G63" s="122">
        <f t="shared" si="3"/>
        <v>0</v>
      </c>
      <c r="H63" s="122"/>
      <c r="I63" s="122">
        <f t="shared" si="4"/>
        <v>0</v>
      </c>
      <c r="J63" s="122">
        <f t="shared" si="5"/>
        <v>0</v>
      </c>
    </row>
    <row r="64" spans="1:10" x14ac:dyDescent="0.25">
      <c r="A64" s="122"/>
      <c r="B64" s="98">
        <f t="shared" si="0"/>
        <v>50</v>
      </c>
      <c r="C64" s="122">
        <f t="shared" si="1"/>
        <v>0</v>
      </c>
      <c r="E64" s="122">
        <f t="shared" si="2"/>
        <v>0</v>
      </c>
      <c r="F64" s="122"/>
      <c r="G64" s="122">
        <f t="shared" si="3"/>
        <v>0</v>
      </c>
      <c r="H64" s="122"/>
      <c r="I64" s="122">
        <f t="shared" si="4"/>
        <v>0</v>
      </c>
      <c r="J64" s="122">
        <f t="shared" si="5"/>
        <v>0</v>
      </c>
    </row>
    <row r="65" spans="1:10" x14ac:dyDescent="0.25">
      <c r="A65" s="122"/>
      <c r="B65" s="98">
        <f t="shared" si="0"/>
        <v>51</v>
      </c>
      <c r="C65" s="122">
        <f t="shared" si="1"/>
        <v>0</v>
      </c>
      <c r="E65" s="122">
        <f t="shared" si="2"/>
        <v>0</v>
      </c>
      <c r="F65" s="122"/>
      <c r="G65" s="122">
        <f t="shared" si="3"/>
        <v>0</v>
      </c>
      <c r="H65" s="122"/>
      <c r="I65" s="122">
        <f t="shared" si="4"/>
        <v>0</v>
      </c>
      <c r="J65" s="122">
        <f t="shared" si="5"/>
        <v>0</v>
      </c>
    </row>
    <row r="66" spans="1:10" x14ac:dyDescent="0.25">
      <c r="A66" s="122"/>
      <c r="B66" s="98">
        <f t="shared" si="0"/>
        <v>52</v>
      </c>
      <c r="C66" s="122">
        <f t="shared" si="1"/>
        <v>0</v>
      </c>
      <c r="E66" s="122">
        <f t="shared" si="2"/>
        <v>0</v>
      </c>
      <c r="F66" s="122"/>
      <c r="G66" s="122">
        <f t="shared" si="3"/>
        <v>0</v>
      </c>
      <c r="H66" s="122"/>
      <c r="I66" s="122">
        <f t="shared" si="4"/>
        <v>0</v>
      </c>
      <c r="J66" s="122">
        <f t="shared" si="5"/>
        <v>0</v>
      </c>
    </row>
    <row r="67" spans="1:10" x14ac:dyDescent="0.25">
      <c r="A67" s="122"/>
      <c r="B67" s="98">
        <f t="shared" si="0"/>
        <v>53</v>
      </c>
      <c r="C67" s="122">
        <f t="shared" si="1"/>
        <v>0</v>
      </c>
      <c r="E67" s="122">
        <f t="shared" si="2"/>
        <v>0</v>
      </c>
      <c r="F67" s="122"/>
      <c r="G67" s="122">
        <f t="shared" si="3"/>
        <v>0</v>
      </c>
      <c r="H67" s="122"/>
      <c r="I67" s="122">
        <f t="shared" si="4"/>
        <v>0</v>
      </c>
      <c r="J67" s="122">
        <f t="shared" si="5"/>
        <v>0</v>
      </c>
    </row>
    <row r="68" spans="1:10" x14ac:dyDescent="0.25">
      <c r="A68" s="122"/>
      <c r="B68" s="98">
        <f t="shared" si="0"/>
        <v>54</v>
      </c>
      <c r="C68" s="122">
        <f t="shared" si="1"/>
        <v>0</v>
      </c>
      <c r="E68" s="122">
        <f t="shared" si="2"/>
        <v>0</v>
      </c>
      <c r="F68" s="122"/>
      <c r="G68" s="122">
        <f t="shared" si="3"/>
        <v>0</v>
      </c>
      <c r="H68" s="122"/>
      <c r="I68" s="122">
        <f t="shared" si="4"/>
        <v>0</v>
      </c>
      <c r="J68" s="122">
        <f t="shared" si="5"/>
        <v>0</v>
      </c>
    </row>
    <row r="69" spans="1:10" x14ac:dyDescent="0.25">
      <c r="A69" s="122"/>
      <c r="B69" s="98">
        <f t="shared" si="0"/>
        <v>55</v>
      </c>
      <c r="C69" s="122">
        <f t="shared" si="1"/>
        <v>0</v>
      </c>
      <c r="E69" s="122">
        <f t="shared" si="2"/>
        <v>0</v>
      </c>
      <c r="F69" s="122"/>
      <c r="G69" s="122">
        <f t="shared" si="3"/>
        <v>0</v>
      </c>
      <c r="H69" s="122"/>
      <c r="I69" s="122">
        <f t="shared" si="4"/>
        <v>0</v>
      </c>
      <c r="J69" s="122">
        <f t="shared" si="5"/>
        <v>0</v>
      </c>
    </row>
    <row r="70" spans="1:10" x14ac:dyDescent="0.25">
      <c r="A70" s="122"/>
      <c r="B70" s="98">
        <f t="shared" si="0"/>
        <v>56</v>
      </c>
      <c r="C70" s="122">
        <f t="shared" si="1"/>
        <v>0</v>
      </c>
      <c r="E70" s="122">
        <f t="shared" si="2"/>
        <v>0</v>
      </c>
      <c r="F70" s="122"/>
      <c r="G70" s="122">
        <f t="shared" si="3"/>
        <v>0</v>
      </c>
      <c r="H70" s="122"/>
      <c r="I70" s="122">
        <f t="shared" si="4"/>
        <v>0</v>
      </c>
      <c r="J70" s="122">
        <f t="shared" si="5"/>
        <v>0</v>
      </c>
    </row>
    <row r="71" spans="1:10" x14ac:dyDescent="0.25">
      <c r="A71" s="122"/>
      <c r="B71" s="98">
        <f t="shared" si="0"/>
        <v>57</v>
      </c>
      <c r="C71" s="122">
        <f t="shared" si="1"/>
        <v>0</v>
      </c>
      <c r="E71" s="122">
        <f t="shared" si="2"/>
        <v>0</v>
      </c>
      <c r="F71" s="122"/>
      <c r="G71" s="122">
        <f t="shared" si="3"/>
        <v>0</v>
      </c>
      <c r="H71" s="122"/>
      <c r="I71" s="122">
        <f t="shared" si="4"/>
        <v>0</v>
      </c>
      <c r="J71" s="122">
        <f t="shared" si="5"/>
        <v>0</v>
      </c>
    </row>
    <row r="72" spans="1:10" x14ac:dyDescent="0.25">
      <c r="A72" s="122"/>
      <c r="B72" s="98">
        <f t="shared" si="0"/>
        <v>58</v>
      </c>
      <c r="C72" s="122">
        <f t="shared" si="1"/>
        <v>0</v>
      </c>
      <c r="E72" s="122">
        <f t="shared" si="2"/>
        <v>0</v>
      </c>
      <c r="F72" s="122"/>
      <c r="G72" s="122">
        <f t="shared" si="3"/>
        <v>0</v>
      </c>
      <c r="H72" s="122"/>
      <c r="I72" s="122">
        <f t="shared" si="4"/>
        <v>0</v>
      </c>
      <c r="J72" s="122">
        <f t="shared" si="5"/>
        <v>0</v>
      </c>
    </row>
    <row r="73" spans="1:10" x14ac:dyDescent="0.25">
      <c r="A73" s="122"/>
      <c r="B73" s="98">
        <f t="shared" si="0"/>
        <v>59</v>
      </c>
      <c r="C73" s="122">
        <f t="shared" si="1"/>
        <v>0</v>
      </c>
      <c r="E73" s="122">
        <f t="shared" si="2"/>
        <v>0</v>
      </c>
      <c r="F73" s="122"/>
      <c r="G73" s="122">
        <f t="shared" si="3"/>
        <v>0</v>
      </c>
      <c r="H73" s="122"/>
      <c r="I73" s="122">
        <f t="shared" si="4"/>
        <v>0</v>
      </c>
      <c r="J73" s="122">
        <f t="shared" si="5"/>
        <v>0</v>
      </c>
    </row>
    <row r="74" spans="1:10" x14ac:dyDescent="0.25">
      <c r="A74" s="122"/>
      <c r="B74" s="98">
        <f t="shared" si="0"/>
        <v>60</v>
      </c>
      <c r="C74" s="122">
        <f t="shared" si="1"/>
        <v>0</v>
      </c>
      <c r="E74" s="122">
        <f t="shared" si="2"/>
        <v>0</v>
      </c>
      <c r="F74" s="122"/>
      <c r="G74" s="122">
        <f t="shared" si="3"/>
        <v>0</v>
      </c>
      <c r="H74" s="122"/>
      <c r="I74" s="122">
        <f t="shared" si="4"/>
        <v>0</v>
      </c>
      <c r="J74" s="122">
        <f t="shared" si="5"/>
        <v>0</v>
      </c>
    </row>
    <row r="75" spans="1:10" x14ac:dyDescent="0.25">
      <c r="A75" s="122"/>
      <c r="B75" s="98">
        <f t="shared" si="0"/>
        <v>61</v>
      </c>
      <c r="C75" s="122">
        <f t="shared" si="1"/>
        <v>0</v>
      </c>
      <c r="E75" s="122">
        <f t="shared" si="2"/>
        <v>0</v>
      </c>
      <c r="F75" s="122"/>
      <c r="G75" s="122">
        <f t="shared" si="3"/>
        <v>0</v>
      </c>
      <c r="H75" s="122"/>
      <c r="I75" s="122">
        <f t="shared" si="4"/>
        <v>0</v>
      </c>
      <c r="J75" s="122">
        <f t="shared" si="5"/>
        <v>0</v>
      </c>
    </row>
    <row r="76" spans="1:10" x14ac:dyDescent="0.25">
      <c r="A76" s="122"/>
      <c r="B76" s="98">
        <f t="shared" si="0"/>
        <v>62</v>
      </c>
      <c r="C76" s="122">
        <f t="shared" si="1"/>
        <v>0</v>
      </c>
      <c r="E76" s="122">
        <f t="shared" si="2"/>
        <v>0</v>
      </c>
      <c r="F76" s="122"/>
      <c r="G76" s="122">
        <f t="shared" si="3"/>
        <v>0</v>
      </c>
      <c r="H76" s="122"/>
      <c r="I76" s="122">
        <f t="shared" si="4"/>
        <v>0</v>
      </c>
      <c r="J76" s="122">
        <f t="shared" si="5"/>
        <v>0</v>
      </c>
    </row>
    <row r="77" spans="1:10" x14ac:dyDescent="0.25">
      <c r="A77" s="122"/>
      <c r="B77" s="98">
        <f t="shared" si="0"/>
        <v>63</v>
      </c>
      <c r="C77" s="122">
        <f t="shared" si="1"/>
        <v>0</v>
      </c>
      <c r="E77" s="122">
        <f t="shared" si="2"/>
        <v>0</v>
      </c>
      <c r="F77" s="122"/>
      <c r="G77" s="122">
        <f t="shared" si="3"/>
        <v>0</v>
      </c>
      <c r="H77" s="122"/>
      <c r="I77" s="122">
        <f t="shared" si="4"/>
        <v>0</v>
      </c>
      <c r="J77" s="122">
        <f t="shared" si="5"/>
        <v>0</v>
      </c>
    </row>
    <row r="78" spans="1:10" x14ac:dyDescent="0.25">
      <c r="A78" s="122"/>
      <c r="B78" s="98">
        <f t="shared" si="0"/>
        <v>64</v>
      </c>
      <c r="C78" s="122">
        <f t="shared" si="1"/>
        <v>0</v>
      </c>
      <c r="E78" s="122">
        <f t="shared" si="2"/>
        <v>0</v>
      </c>
      <c r="F78" s="122"/>
      <c r="G78" s="122">
        <f t="shared" si="3"/>
        <v>0</v>
      </c>
      <c r="H78" s="122"/>
      <c r="I78" s="122">
        <f t="shared" si="4"/>
        <v>0</v>
      </c>
      <c r="J78" s="122">
        <f t="shared" si="5"/>
        <v>0</v>
      </c>
    </row>
    <row r="79" spans="1:10" x14ac:dyDescent="0.25">
      <c r="A79" s="122"/>
      <c r="B79" s="98">
        <f t="shared" si="0"/>
        <v>65</v>
      </c>
      <c r="C79" s="122">
        <f t="shared" si="1"/>
        <v>0</v>
      </c>
      <c r="E79" s="122">
        <f t="shared" si="2"/>
        <v>0</v>
      </c>
      <c r="F79" s="122"/>
      <c r="G79" s="122">
        <f t="shared" si="3"/>
        <v>0</v>
      </c>
      <c r="H79" s="122"/>
      <c r="I79" s="122">
        <f t="shared" si="4"/>
        <v>0</v>
      </c>
      <c r="J79" s="122">
        <f t="shared" si="5"/>
        <v>0</v>
      </c>
    </row>
    <row r="80" spans="1:10" x14ac:dyDescent="0.25">
      <c r="A80" s="122"/>
      <c r="B80" s="98">
        <f t="shared" ref="B80:B143" si="6">B79+1</f>
        <v>66</v>
      </c>
      <c r="C80" s="122">
        <f t="shared" ref="C80:C143" si="7">IF(B80&gt;$G$8+$L$7,0,J79)</f>
        <v>0</v>
      </c>
      <c r="E80" s="122">
        <f t="shared" ref="E80:E143" si="8">IFERROR(-IF(AND($L$6&gt;0,B80&lt;=$L$7),-$E$10*$E$6,PMT($E$10,$G$8,$E$6))*IF(B80&gt;$G$8+$L$7,0,1),0)</f>
        <v>0</v>
      </c>
      <c r="F80" s="122"/>
      <c r="G80" s="122">
        <f t="shared" ref="G80:G143" si="9">IF(AND($L$6&gt;0,B80&lt;=$L$7),0,C80-J80)</f>
        <v>0</v>
      </c>
      <c r="H80" s="122"/>
      <c r="I80" s="122">
        <f t="shared" ref="I80:I143" si="10">E80-G80</f>
        <v>0</v>
      </c>
      <c r="J80" s="122">
        <f t="shared" ref="J80:J143" si="11">-FV($E$10,1,-E80,C80)</f>
        <v>0</v>
      </c>
    </row>
    <row r="81" spans="1:10" x14ac:dyDescent="0.25">
      <c r="A81" s="122"/>
      <c r="B81" s="98">
        <f t="shared" si="6"/>
        <v>67</v>
      </c>
      <c r="C81" s="122">
        <f t="shared" si="7"/>
        <v>0</v>
      </c>
      <c r="E81" s="122">
        <f t="shared" si="8"/>
        <v>0</v>
      </c>
      <c r="F81" s="122"/>
      <c r="G81" s="122">
        <f t="shared" si="9"/>
        <v>0</v>
      </c>
      <c r="H81" s="122"/>
      <c r="I81" s="122">
        <f t="shared" si="10"/>
        <v>0</v>
      </c>
      <c r="J81" s="122">
        <f t="shared" si="11"/>
        <v>0</v>
      </c>
    </row>
    <row r="82" spans="1:10" x14ac:dyDescent="0.25">
      <c r="A82" s="122"/>
      <c r="B82" s="98">
        <f t="shared" si="6"/>
        <v>68</v>
      </c>
      <c r="C82" s="122">
        <f t="shared" si="7"/>
        <v>0</v>
      </c>
      <c r="E82" s="122">
        <f t="shared" si="8"/>
        <v>0</v>
      </c>
      <c r="F82" s="122"/>
      <c r="G82" s="122">
        <f t="shared" si="9"/>
        <v>0</v>
      </c>
      <c r="H82" s="122"/>
      <c r="I82" s="122">
        <f t="shared" si="10"/>
        <v>0</v>
      </c>
      <c r="J82" s="122">
        <f t="shared" si="11"/>
        <v>0</v>
      </c>
    </row>
    <row r="83" spans="1:10" x14ac:dyDescent="0.25">
      <c r="A83" s="122"/>
      <c r="B83" s="98">
        <f t="shared" si="6"/>
        <v>69</v>
      </c>
      <c r="C83" s="122">
        <f t="shared" si="7"/>
        <v>0</v>
      </c>
      <c r="E83" s="122">
        <f t="shared" si="8"/>
        <v>0</v>
      </c>
      <c r="F83" s="122"/>
      <c r="G83" s="122">
        <f t="shared" si="9"/>
        <v>0</v>
      </c>
      <c r="H83" s="122"/>
      <c r="I83" s="122">
        <f t="shared" si="10"/>
        <v>0</v>
      </c>
      <c r="J83" s="122">
        <f t="shared" si="11"/>
        <v>0</v>
      </c>
    </row>
    <row r="84" spans="1:10" x14ac:dyDescent="0.25">
      <c r="A84" s="122"/>
      <c r="B84" s="98">
        <f t="shared" si="6"/>
        <v>70</v>
      </c>
      <c r="C84" s="122">
        <f t="shared" si="7"/>
        <v>0</v>
      </c>
      <c r="E84" s="122">
        <f t="shared" si="8"/>
        <v>0</v>
      </c>
      <c r="F84" s="122"/>
      <c r="G84" s="122">
        <f t="shared" si="9"/>
        <v>0</v>
      </c>
      <c r="H84" s="122"/>
      <c r="I84" s="122">
        <f t="shared" si="10"/>
        <v>0</v>
      </c>
      <c r="J84" s="122">
        <f t="shared" si="11"/>
        <v>0</v>
      </c>
    </row>
    <row r="85" spans="1:10" x14ac:dyDescent="0.25">
      <c r="A85" s="122"/>
      <c r="B85" s="98">
        <f t="shared" si="6"/>
        <v>71</v>
      </c>
      <c r="C85" s="122">
        <f t="shared" si="7"/>
        <v>0</v>
      </c>
      <c r="E85" s="122">
        <f t="shared" si="8"/>
        <v>0</v>
      </c>
      <c r="F85" s="122"/>
      <c r="G85" s="122">
        <f t="shared" si="9"/>
        <v>0</v>
      </c>
      <c r="H85" s="122"/>
      <c r="I85" s="122">
        <f t="shared" si="10"/>
        <v>0</v>
      </c>
      <c r="J85" s="122">
        <f t="shared" si="11"/>
        <v>0</v>
      </c>
    </row>
    <row r="86" spans="1:10" x14ac:dyDescent="0.25">
      <c r="A86" s="122"/>
      <c r="B86" s="98">
        <f t="shared" si="6"/>
        <v>72</v>
      </c>
      <c r="C86" s="122">
        <f t="shared" si="7"/>
        <v>0</v>
      </c>
      <c r="E86" s="122">
        <f t="shared" si="8"/>
        <v>0</v>
      </c>
      <c r="F86" s="122"/>
      <c r="G86" s="122">
        <f t="shared" si="9"/>
        <v>0</v>
      </c>
      <c r="H86" s="122"/>
      <c r="I86" s="122">
        <f t="shared" si="10"/>
        <v>0</v>
      </c>
      <c r="J86" s="122">
        <f t="shared" si="11"/>
        <v>0</v>
      </c>
    </row>
    <row r="87" spans="1:10" x14ac:dyDescent="0.25">
      <c r="A87" s="122"/>
      <c r="B87" s="98">
        <f t="shared" si="6"/>
        <v>73</v>
      </c>
      <c r="C87" s="122">
        <f t="shared" si="7"/>
        <v>0</v>
      </c>
      <c r="E87" s="122">
        <f t="shared" si="8"/>
        <v>0</v>
      </c>
      <c r="F87" s="122"/>
      <c r="G87" s="122">
        <f t="shared" si="9"/>
        <v>0</v>
      </c>
      <c r="H87" s="122"/>
      <c r="I87" s="122">
        <f t="shared" si="10"/>
        <v>0</v>
      </c>
      <c r="J87" s="122">
        <f t="shared" si="11"/>
        <v>0</v>
      </c>
    </row>
    <row r="88" spans="1:10" x14ac:dyDescent="0.25">
      <c r="A88" s="122"/>
      <c r="B88" s="98">
        <f t="shared" si="6"/>
        <v>74</v>
      </c>
      <c r="C88" s="122">
        <f t="shared" si="7"/>
        <v>0</v>
      </c>
      <c r="E88" s="122">
        <f t="shared" si="8"/>
        <v>0</v>
      </c>
      <c r="F88" s="122"/>
      <c r="G88" s="122">
        <f t="shared" si="9"/>
        <v>0</v>
      </c>
      <c r="H88" s="122"/>
      <c r="I88" s="122">
        <f t="shared" si="10"/>
        <v>0</v>
      </c>
      <c r="J88" s="122">
        <f t="shared" si="11"/>
        <v>0</v>
      </c>
    </row>
    <row r="89" spans="1:10" x14ac:dyDescent="0.25">
      <c r="A89" s="122"/>
      <c r="B89" s="98">
        <f t="shared" si="6"/>
        <v>75</v>
      </c>
      <c r="C89" s="122">
        <f t="shared" si="7"/>
        <v>0</v>
      </c>
      <c r="E89" s="122">
        <f t="shared" si="8"/>
        <v>0</v>
      </c>
      <c r="F89" s="122"/>
      <c r="G89" s="122">
        <f t="shared" si="9"/>
        <v>0</v>
      </c>
      <c r="H89" s="122"/>
      <c r="I89" s="122">
        <f t="shared" si="10"/>
        <v>0</v>
      </c>
      <c r="J89" s="122">
        <f t="shared" si="11"/>
        <v>0</v>
      </c>
    </row>
    <row r="90" spans="1:10" x14ac:dyDescent="0.25">
      <c r="A90" s="122"/>
      <c r="B90" s="98">
        <f t="shared" si="6"/>
        <v>76</v>
      </c>
      <c r="C90" s="122">
        <f t="shared" si="7"/>
        <v>0</v>
      </c>
      <c r="E90" s="122">
        <f t="shared" si="8"/>
        <v>0</v>
      </c>
      <c r="F90" s="122"/>
      <c r="G90" s="122">
        <f t="shared" si="9"/>
        <v>0</v>
      </c>
      <c r="H90" s="122"/>
      <c r="I90" s="122">
        <f t="shared" si="10"/>
        <v>0</v>
      </c>
      <c r="J90" s="122">
        <f t="shared" si="11"/>
        <v>0</v>
      </c>
    </row>
    <row r="91" spans="1:10" x14ac:dyDescent="0.25">
      <c r="A91" s="122"/>
      <c r="B91" s="98">
        <f t="shared" si="6"/>
        <v>77</v>
      </c>
      <c r="C91" s="122">
        <f t="shared" si="7"/>
        <v>0</v>
      </c>
      <c r="E91" s="122">
        <f t="shared" si="8"/>
        <v>0</v>
      </c>
      <c r="F91" s="122"/>
      <c r="G91" s="122">
        <f t="shared" si="9"/>
        <v>0</v>
      </c>
      <c r="H91" s="122"/>
      <c r="I91" s="122">
        <f t="shared" si="10"/>
        <v>0</v>
      </c>
      <c r="J91" s="122">
        <f t="shared" si="11"/>
        <v>0</v>
      </c>
    </row>
    <row r="92" spans="1:10" x14ac:dyDescent="0.25">
      <c r="A92" s="122"/>
      <c r="B92" s="98">
        <f t="shared" si="6"/>
        <v>78</v>
      </c>
      <c r="C92" s="122">
        <f t="shared" si="7"/>
        <v>0</v>
      </c>
      <c r="E92" s="122">
        <f t="shared" si="8"/>
        <v>0</v>
      </c>
      <c r="F92" s="122"/>
      <c r="G92" s="122">
        <f t="shared" si="9"/>
        <v>0</v>
      </c>
      <c r="H92" s="122"/>
      <c r="I92" s="122">
        <f t="shared" si="10"/>
        <v>0</v>
      </c>
      <c r="J92" s="122">
        <f t="shared" si="11"/>
        <v>0</v>
      </c>
    </row>
    <row r="93" spans="1:10" x14ac:dyDescent="0.25">
      <c r="A93" s="122"/>
      <c r="B93" s="98">
        <f t="shared" si="6"/>
        <v>79</v>
      </c>
      <c r="C93" s="122">
        <f t="shared" si="7"/>
        <v>0</v>
      </c>
      <c r="E93" s="122">
        <f t="shared" si="8"/>
        <v>0</v>
      </c>
      <c r="F93" s="122"/>
      <c r="G93" s="122">
        <f t="shared" si="9"/>
        <v>0</v>
      </c>
      <c r="H93" s="122"/>
      <c r="I93" s="122">
        <f t="shared" si="10"/>
        <v>0</v>
      </c>
      <c r="J93" s="122">
        <f t="shared" si="11"/>
        <v>0</v>
      </c>
    </row>
    <row r="94" spans="1:10" x14ac:dyDescent="0.25">
      <c r="A94" s="122"/>
      <c r="B94" s="98">
        <f t="shared" si="6"/>
        <v>80</v>
      </c>
      <c r="C94" s="122">
        <f t="shared" si="7"/>
        <v>0</v>
      </c>
      <c r="E94" s="122">
        <f t="shared" si="8"/>
        <v>0</v>
      </c>
      <c r="F94" s="122"/>
      <c r="G94" s="122">
        <f t="shared" si="9"/>
        <v>0</v>
      </c>
      <c r="H94" s="122"/>
      <c r="I94" s="122">
        <f t="shared" si="10"/>
        <v>0</v>
      </c>
      <c r="J94" s="122">
        <f t="shared" si="11"/>
        <v>0</v>
      </c>
    </row>
    <row r="95" spans="1:10" x14ac:dyDescent="0.25">
      <c r="A95" s="122"/>
      <c r="B95" s="98">
        <f t="shared" si="6"/>
        <v>81</v>
      </c>
      <c r="C95" s="122">
        <f t="shared" si="7"/>
        <v>0</v>
      </c>
      <c r="E95" s="122">
        <f t="shared" si="8"/>
        <v>0</v>
      </c>
      <c r="F95" s="122"/>
      <c r="G95" s="122">
        <f t="shared" si="9"/>
        <v>0</v>
      </c>
      <c r="H95" s="122"/>
      <c r="I95" s="122">
        <f t="shared" si="10"/>
        <v>0</v>
      </c>
      <c r="J95" s="122">
        <f t="shared" si="11"/>
        <v>0</v>
      </c>
    </row>
    <row r="96" spans="1:10" x14ac:dyDescent="0.25">
      <c r="A96" s="122"/>
      <c r="B96" s="98">
        <f t="shared" si="6"/>
        <v>82</v>
      </c>
      <c r="C96" s="122">
        <f t="shared" si="7"/>
        <v>0</v>
      </c>
      <c r="E96" s="122">
        <f t="shared" si="8"/>
        <v>0</v>
      </c>
      <c r="F96" s="122"/>
      <c r="G96" s="122">
        <f t="shared" si="9"/>
        <v>0</v>
      </c>
      <c r="H96" s="122"/>
      <c r="I96" s="122">
        <f t="shared" si="10"/>
        <v>0</v>
      </c>
      <c r="J96" s="122">
        <f t="shared" si="11"/>
        <v>0</v>
      </c>
    </row>
    <row r="97" spans="1:10" x14ac:dyDescent="0.25">
      <c r="A97" s="122"/>
      <c r="B97" s="98">
        <f t="shared" si="6"/>
        <v>83</v>
      </c>
      <c r="C97" s="122">
        <f t="shared" si="7"/>
        <v>0</v>
      </c>
      <c r="E97" s="122">
        <f t="shared" si="8"/>
        <v>0</v>
      </c>
      <c r="F97" s="122"/>
      <c r="G97" s="122">
        <f t="shared" si="9"/>
        <v>0</v>
      </c>
      <c r="H97" s="122"/>
      <c r="I97" s="122">
        <f t="shared" si="10"/>
        <v>0</v>
      </c>
      <c r="J97" s="122">
        <f t="shared" si="11"/>
        <v>0</v>
      </c>
    </row>
    <row r="98" spans="1:10" x14ac:dyDescent="0.25">
      <c r="A98" s="122"/>
      <c r="B98" s="98">
        <f t="shared" si="6"/>
        <v>84</v>
      </c>
      <c r="C98" s="122">
        <f t="shared" si="7"/>
        <v>0</v>
      </c>
      <c r="E98" s="122">
        <f t="shared" si="8"/>
        <v>0</v>
      </c>
      <c r="F98" s="122"/>
      <c r="G98" s="122">
        <f t="shared" si="9"/>
        <v>0</v>
      </c>
      <c r="H98" s="122"/>
      <c r="I98" s="122">
        <f t="shared" si="10"/>
        <v>0</v>
      </c>
      <c r="J98" s="122">
        <f t="shared" si="11"/>
        <v>0</v>
      </c>
    </row>
    <row r="99" spans="1:10" x14ac:dyDescent="0.25">
      <c r="A99" s="122"/>
      <c r="B99" s="98">
        <f t="shared" si="6"/>
        <v>85</v>
      </c>
      <c r="C99" s="122">
        <f t="shared" si="7"/>
        <v>0</v>
      </c>
      <c r="E99" s="122">
        <f t="shared" si="8"/>
        <v>0</v>
      </c>
      <c r="F99" s="122"/>
      <c r="G99" s="122">
        <f t="shared" si="9"/>
        <v>0</v>
      </c>
      <c r="H99" s="122"/>
      <c r="I99" s="122">
        <f t="shared" si="10"/>
        <v>0</v>
      </c>
      <c r="J99" s="122">
        <f t="shared" si="11"/>
        <v>0</v>
      </c>
    </row>
    <row r="100" spans="1:10" x14ac:dyDescent="0.25">
      <c r="A100" s="122"/>
      <c r="B100" s="98">
        <f t="shared" si="6"/>
        <v>86</v>
      </c>
      <c r="C100" s="122">
        <f t="shared" si="7"/>
        <v>0</v>
      </c>
      <c r="E100" s="122">
        <f t="shared" si="8"/>
        <v>0</v>
      </c>
      <c r="F100" s="122"/>
      <c r="G100" s="122">
        <f t="shared" si="9"/>
        <v>0</v>
      </c>
      <c r="H100" s="122"/>
      <c r="I100" s="122">
        <f t="shared" si="10"/>
        <v>0</v>
      </c>
      <c r="J100" s="122">
        <f t="shared" si="11"/>
        <v>0</v>
      </c>
    </row>
    <row r="101" spans="1:10" x14ac:dyDescent="0.25">
      <c r="A101" s="122"/>
      <c r="B101" s="98">
        <f t="shared" si="6"/>
        <v>87</v>
      </c>
      <c r="C101" s="122">
        <f t="shared" si="7"/>
        <v>0</v>
      </c>
      <c r="E101" s="122">
        <f t="shared" si="8"/>
        <v>0</v>
      </c>
      <c r="F101" s="122"/>
      <c r="G101" s="122">
        <f t="shared" si="9"/>
        <v>0</v>
      </c>
      <c r="H101" s="122"/>
      <c r="I101" s="122">
        <f t="shared" si="10"/>
        <v>0</v>
      </c>
      <c r="J101" s="122">
        <f t="shared" si="11"/>
        <v>0</v>
      </c>
    </row>
    <row r="102" spans="1:10" x14ac:dyDescent="0.25">
      <c r="A102" s="122"/>
      <c r="B102" s="98">
        <f t="shared" si="6"/>
        <v>88</v>
      </c>
      <c r="C102" s="122">
        <f t="shared" si="7"/>
        <v>0</v>
      </c>
      <c r="E102" s="122">
        <f t="shared" si="8"/>
        <v>0</v>
      </c>
      <c r="F102" s="122"/>
      <c r="G102" s="122">
        <f t="shared" si="9"/>
        <v>0</v>
      </c>
      <c r="H102" s="122"/>
      <c r="I102" s="122">
        <f t="shared" si="10"/>
        <v>0</v>
      </c>
      <c r="J102" s="122">
        <f t="shared" si="11"/>
        <v>0</v>
      </c>
    </row>
    <row r="103" spans="1:10" x14ac:dyDescent="0.25">
      <c r="A103" s="122"/>
      <c r="B103" s="98">
        <f t="shared" si="6"/>
        <v>89</v>
      </c>
      <c r="C103" s="122">
        <f t="shared" si="7"/>
        <v>0</v>
      </c>
      <c r="E103" s="122">
        <f t="shared" si="8"/>
        <v>0</v>
      </c>
      <c r="F103" s="122"/>
      <c r="G103" s="122">
        <f t="shared" si="9"/>
        <v>0</v>
      </c>
      <c r="H103" s="122"/>
      <c r="I103" s="122">
        <f t="shared" si="10"/>
        <v>0</v>
      </c>
      <c r="J103" s="122">
        <f t="shared" si="11"/>
        <v>0</v>
      </c>
    </row>
    <row r="104" spans="1:10" x14ac:dyDescent="0.25">
      <c r="A104" s="122"/>
      <c r="B104" s="98">
        <f t="shared" si="6"/>
        <v>90</v>
      </c>
      <c r="C104" s="122">
        <f t="shared" si="7"/>
        <v>0</v>
      </c>
      <c r="E104" s="122">
        <f t="shared" si="8"/>
        <v>0</v>
      </c>
      <c r="F104" s="122"/>
      <c r="G104" s="122">
        <f t="shared" si="9"/>
        <v>0</v>
      </c>
      <c r="H104" s="122"/>
      <c r="I104" s="122">
        <f t="shared" si="10"/>
        <v>0</v>
      </c>
      <c r="J104" s="122">
        <f t="shared" si="11"/>
        <v>0</v>
      </c>
    </row>
    <row r="105" spans="1:10" x14ac:dyDescent="0.25">
      <c r="A105" s="122"/>
      <c r="B105" s="98">
        <f t="shared" si="6"/>
        <v>91</v>
      </c>
      <c r="C105" s="122">
        <f t="shared" si="7"/>
        <v>0</v>
      </c>
      <c r="E105" s="122">
        <f t="shared" si="8"/>
        <v>0</v>
      </c>
      <c r="F105" s="122"/>
      <c r="G105" s="122">
        <f t="shared" si="9"/>
        <v>0</v>
      </c>
      <c r="H105" s="122"/>
      <c r="I105" s="122">
        <f t="shared" si="10"/>
        <v>0</v>
      </c>
      <c r="J105" s="122">
        <f t="shared" si="11"/>
        <v>0</v>
      </c>
    </row>
    <row r="106" spans="1:10" x14ac:dyDescent="0.25">
      <c r="A106" s="122"/>
      <c r="B106" s="98">
        <f t="shared" si="6"/>
        <v>92</v>
      </c>
      <c r="C106" s="122">
        <f t="shared" si="7"/>
        <v>0</v>
      </c>
      <c r="E106" s="122">
        <f t="shared" si="8"/>
        <v>0</v>
      </c>
      <c r="F106" s="122"/>
      <c r="G106" s="122">
        <f t="shared" si="9"/>
        <v>0</v>
      </c>
      <c r="H106" s="122"/>
      <c r="I106" s="122">
        <f t="shared" si="10"/>
        <v>0</v>
      </c>
      <c r="J106" s="122">
        <f t="shared" si="11"/>
        <v>0</v>
      </c>
    </row>
    <row r="107" spans="1:10" x14ac:dyDescent="0.25">
      <c r="A107" s="122"/>
      <c r="B107" s="98">
        <f t="shared" si="6"/>
        <v>93</v>
      </c>
      <c r="C107" s="122">
        <f t="shared" si="7"/>
        <v>0</v>
      </c>
      <c r="E107" s="122">
        <f t="shared" si="8"/>
        <v>0</v>
      </c>
      <c r="F107" s="122"/>
      <c r="G107" s="122">
        <f t="shared" si="9"/>
        <v>0</v>
      </c>
      <c r="H107" s="122"/>
      <c r="I107" s="122">
        <f t="shared" si="10"/>
        <v>0</v>
      </c>
      <c r="J107" s="122">
        <f t="shared" si="11"/>
        <v>0</v>
      </c>
    </row>
    <row r="108" spans="1:10" x14ac:dyDescent="0.25">
      <c r="A108" s="122"/>
      <c r="B108" s="98">
        <f t="shared" si="6"/>
        <v>94</v>
      </c>
      <c r="C108" s="122">
        <f t="shared" si="7"/>
        <v>0</v>
      </c>
      <c r="E108" s="122">
        <f t="shared" si="8"/>
        <v>0</v>
      </c>
      <c r="F108" s="122"/>
      <c r="G108" s="122">
        <f t="shared" si="9"/>
        <v>0</v>
      </c>
      <c r="H108" s="122"/>
      <c r="I108" s="122">
        <f t="shared" si="10"/>
        <v>0</v>
      </c>
      <c r="J108" s="122">
        <f t="shared" si="11"/>
        <v>0</v>
      </c>
    </row>
    <row r="109" spans="1:10" x14ac:dyDescent="0.25">
      <c r="A109" s="122"/>
      <c r="B109" s="98">
        <f t="shared" si="6"/>
        <v>95</v>
      </c>
      <c r="C109" s="122">
        <f t="shared" si="7"/>
        <v>0</v>
      </c>
      <c r="E109" s="122">
        <f t="shared" si="8"/>
        <v>0</v>
      </c>
      <c r="F109" s="122"/>
      <c r="G109" s="122">
        <f t="shared" si="9"/>
        <v>0</v>
      </c>
      <c r="H109" s="122"/>
      <c r="I109" s="122">
        <f t="shared" si="10"/>
        <v>0</v>
      </c>
      <c r="J109" s="122">
        <f t="shared" si="11"/>
        <v>0</v>
      </c>
    </row>
    <row r="110" spans="1:10" x14ac:dyDescent="0.25">
      <c r="A110" s="122"/>
      <c r="B110" s="98">
        <f t="shared" si="6"/>
        <v>96</v>
      </c>
      <c r="C110" s="122">
        <f t="shared" si="7"/>
        <v>0</v>
      </c>
      <c r="E110" s="122">
        <f t="shared" si="8"/>
        <v>0</v>
      </c>
      <c r="F110" s="122"/>
      <c r="G110" s="122">
        <f t="shared" si="9"/>
        <v>0</v>
      </c>
      <c r="H110" s="122"/>
      <c r="I110" s="122">
        <f t="shared" si="10"/>
        <v>0</v>
      </c>
      <c r="J110" s="122">
        <f t="shared" si="11"/>
        <v>0</v>
      </c>
    </row>
    <row r="111" spans="1:10" x14ac:dyDescent="0.25">
      <c r="A111" s="122"/>
      <c r="B111" s="98">
        <f t="shared" si="6"/>
        <v>97</v>
      </c>
      <c r="C111" s="122">
        <f t="shared" si="7"/>
        <v>0</v>
      </c>
      <c r="E111" s="122">
        <f t="shared" si="8"/>
        <v>0</v>
      </c>
      <c r="F111" s="122"/>
      <c r="G111" s="122">
        <f t="shared" si="9"/>
        <v>0</v>
      </c>
      <c r="H111" s="122"/>
      <c r="I111" s="122">
        <f t="shared" si="10"/>
        <v>0</v>
      </c>
      <c r="J111" s="122">
        <f t="shared" si="11"/>
        <v>0</v>
      </c>
    </row>
    <row r="112" spans="1:10" x14ac:dyDescent="0.25">
      <c r="A112" s="122"/>
      <c r="B112" s="98">
        <f t="shared" si="6"/>
        <v>98</v>
      </c>
      <c r="C112" s="122">
        <f t="shared" si="7"/>
        <v>0</v>
      </c>
      <c r="E112" s="122">
        <f t="shared" si="8"/>
        <v>0</v>
      </c>
      <c r="F112" s="122"/>
      <c r="G112" s="122">
        <f t="shared" si="9"/>
        <v>0</v>
      </c>
      <c r="H112" s="122"/>
      <c r="I112" s="122">
        <f t="shared" si="10"/>
        <v>0</v>
      </c>
      <c r="J112" s="122">
        <f t="shared" si="11"/>
        <v>0</v>
      </c>
    </row>
    <row r="113" spans="1:10" x14ac:dyDescent="0.25">
      <c r="A113" s="122"/>
      <c r="B113" s="98">
        <f t="shared" si="6"/>
        <v>99</v>
      </c>
      <c r="C113" s="122">
        <f t="shared" si="7"/>
        <v>0</v>
      </c>
      <c r="E113" s="122">
        <f t="shared" si="8"/>
        <v>0</v>
      </c>
      <c r="F113" s="122"/>
      <c r="G113" s="122">
        <f t="shared" si="9"/>
        <v>0</v>
      </c>
      <c r="H113" s="122"/>
      <c r="I113" s="122">
        <f t="shared" si="10"/>
        <v>0</v>
      </c>
      <c r="J113" s="122">
        <f t="shared" si="11"/>
        <v>0</v>
      </c>
    </row>
    <row r="114" spans="1:10" x14ac:dyDescent="0.25">
      <c r="A114" s="122"/>
      <c r="B114" s="98">
        <f t="shared" si="6"/>
        <v>100</v>
      </c>
      <c r="C114" s="122">
        <f t="shared" si="7"/>
        <v>0</v>
      </c>
      <c r="E114" s="122">
        <f t="shared" si="8"/>
        <v>0</v>
      </c>
      <c r="F114" s="122"/>
      <c r="G114" s="122">
        <f t="shared" si="9"/>
        <v>0</v>
      </c>
      <c r="H114" s="122"/>
      <c r="I114" s="122">
        <f t="shared" si="10"/>
        <v>0</v>
      </c>
      <c r="J114" s="122">
        <f t="shared" si="11"/>
        <v>0</v>
      </c>
    </row>
    <row r="115" spans="1:10" x14ac:dyDescent="0.25">
      <c r="A115" s="122"/>
      <c r="B115" s="98">
        <f t="shared" si="6"/>
        <v>101</v>
      </c>
      <c r="C115" s="122">
        <f t="shared" si="7"/>
        <v>0</v>
      </c>
      <c r="E115" s="122">
        <f t="shared" si="8"/>
        <v>0</v>
      </c>
      <c r="F115" s="122"/>
      <c r="G115" s="122">
        <f t="shared" si="9"/>
        <v>0</v>
      </c>
      <c r="H115" s="122"/>
      <c r="I115" s="122">
        <f t="shared" si="10"/>
        <v>0</v>
      </c>
      <c r="J115" s="122">
        <f t="shared" si="11"/>
        <v>0</v>
      </c>
    </row>
    <row r="116" spans="1:10" x14ac:dyDescent="0.25">
      <c r="A116" s="122"/>
      <c r="B116" s="98">
        <f t="shared" si="6"/>
        <v>102</v>
      </c>
      <c r="C116" s="122">
        <f t="shared" si="7"/>
        <v>0</v>
      </c>
      <c r="E116" s="122">
        <f t="shared" si="8"/>
        <v>0</v>
      </c>
      <c r="F116" s="122"/>
      <c r="G116" s="122">
        <f t="shared" si="9"/>
        <v>0</v>
      </c>
      <c r="H116" s="122"/>
      <c r="I116" s="122">
        <f t="shared" si="10"/>
        <v>0</v>
      </c>
      <c r="J116" s="122">
        <f t="shared" si="11"/>
        <v>0</v>
      </c>
    </row>
    <row r="117" spans="1:10" x14ac:dyDescent="0.25">
      <c r="A117" s="122"/>
      <c r="B117" s="98">
        <f t="shared" si="6"/>
        <v>103</v>
      </c>
      <c r="C117" s="122">
        <f t="shared" si="7"/>
        <v>0</v>
      </c>
      <c r="E117" s="122">
        <f t="shared" si="8"/>
        <v>0</v>
      </c>
      <c r="F117" s="122"/>
      <c r="G117" s="122">
        <f t="shared" si="9"/>
        <v>0</v>
      </c>
      <c r="H117" s="122"/>
      <c r="I117" s="122">
        <f t="shared" si="10"/>
        <v>0</v>
      </c>
      <c r="J117" s="122">
        <f t="shared" si="11"/>
        <v>0</v>
      </c>
    </row>
    <row r="118" spans="1:10" x14ac:dyDescent="0.25">
      <c r="A118" s="122"/>
      <c r="B118" s="98">
        <f t="shared" si="6"/>
        <v>104</v>
      </c>
      <c r="C118" s="122">
        <f t="shared" si="7"/>
        <v>0</v>
      </c>
      <c r="E118" s="122">
        <f t="shared" si="8"/>
        <v>0</v>
      </c>
      <c r="F118" s="122"/>
      <c r="G118" s="122">
        <f t="shared" si="9"/>
        <v>0</v>
      </c>
      <c r="H118" s="122"/>
      <c r="I118" s="122">
        <f t="shared" si="10"/>
        <v>0</v>
      </c>
      <c r="J118" s="122">
        <f t="shared" si="11"/>
        <v>0</v>
      </c>
    </row>
    <row r="119" spans="1:10" x14ac:dyDescent="0.25">
      <c r="A119" s="122"/>
      <c r="B119" s="98">
        <f t="shared" si="6"/>
        <v>105</v>
      </c>
      <c r="C119" s="122">
        <f t="shared" si="7"/>
        <v>0</v>
      </c>
      <c r="E119" s="122">
        <f t="shared" si="8"/>
        <v>0</v>
      </c>
      <c r="F119" s="122"/>
      <c r="G119" s="122">
        <f t="shared" si="9"/>
        <v>0</v>
      </c>
      <c r="H119" s="122"/>
      <c r="I119" s="122">
        <f t="shared" si="10"/>
        <v>0</v>
      </c>
      <c r="J119" s="122">
        <f t="shared" si="11"/>
        <v>0</v>
      </c>
    </row>
    <row r="120" spans="1:10" x14ac:dyDescent="0.25">
      <c r="A120" s="122"/>
      <c r="B120" s="98">
        <f t="shared" si="6"/>
        <v>106</v>
      </c>
      <c r="C120" s="122">
        <f t="shared" si="7"/>
        <v>0</v>
      </c>
      <c r="E120" s="122">
        <f t="shared" si="8"/>
        <v>0</v>
      </c>
      <c r="F120" s="122"/>
      <c r="G120" s="122">
        <f t="shared" si="9"/>
        <v>0</v>
      </c>
      <c r="H120" s="122"/>
      <c r="I120" s="122">
        <f t="shared" si="10"/>
        <v>0</v>
      </c>
      <c r="J120" s="122">
        <f t="shared" si="11"/>
        <v>0</v>
      </c>
    </row>
    <row r="121" spans="1:10" x14ac:dyDescent="0.25">
      <c r="A121" s="122"/>
      <c r="B121" s="98">
        <f t="shared" si="6"/>
        <v>107</v>
      </c>
      <c r="C121" s="122">
        <f t="shared" si="7"/>
        <v>0</v>
      </c>
      <c r="E121" s="122">
        <f t="shared" si="8"/>
        <v>0</v>
      </c>
      <c r="F121" s="122"/>
      <c r="G121" s="122">
        <f t="shared" si="9"/>
        <v>0</v>
      </c>
      <c r="H121" s="122"/>
      <c r="I121" s="122">
        <f t="shared" si="10"/>
        <v>0</v>
      </c>
      <c r="J121" s="122">
        <f t="shared" si="11"/>
        <v>0</v>
      </c>
    </row>
    <row r="122" spans="1:10" x14ac:dyDescent="0.25">
      <c r="A122" s="122"/>
      <c r="B122" s="98">
        <f t="shared" si="6"/>
        <v>108</v>
      </c>
      <c r="C122" s="122">
        <f t="shared" si="7"/>
        <v>0</v>
      </c>
      <c r="E122" s="122">
        <f t="shared" si="8"/>
        <v>0</v>
      </c>
      <c r="F122" s="122"/>
      <c r="G122" s="122">
        <f t="shared" si="9"/>
        <v>0</v>
      </c>
      <c r="H122" s="122"/>
      <c r="I122" s="122">
        <f t="shared" si="10"/>
        <v>0</v>
      </c>
      <c r="J122" s="122">
        <f t="shared" si="11"/>
        <v>0</v>
      </c>
    </row>
    <row r="123" spans="1:10" x14ac:dyDescent="0.25">
      <c r="A123" s="122"/>
      <c r="B123" s="98">
        <f t="shared" si="6"/>
        <v>109</v>
      </c>
      <c r="C123" s="122">
        <f t="shared" si="7"/>
        <v>0</v>
      </c>
      <c r="E123" s="122">
        <f t="shared" si="8"/>
        <v>0</v>
      </c>
      <c r="F123" s="122"/>
      <c r="G123" s="122">
        <f t="shared" si="9"/>
        <v>0</v>
      </c>
      <c r="H123" s="122"/>
      <c r="I123" s="122">
        <f t="shared" si="10"/>
        <v>0</v>
      </c>
      <c r="J123" s="122">
        <f t="shared" si="11"/>
        <v>0</v>
      </c>
    </row>
    <row r="124" spans="1:10" x14ac:dyDescent="0.25">
      <c r="A124" s="122"/>
      <c r="B124" s="98">
        <f t="shared" si="6"/>
        <v>110</v>
      </c>
      <c r="C124" s="122">
        <f t="shared" si="7"/>
        <v>0</v>
      </c>
      <c r="E124" s="122">
        <f t="shared" si="8"/>
        <v>0</v>
      </c>
      <c r="F124" s="122"/>
      <c r="G124" s="122">
        <f t="shared" si="9"/>
        <v>0</v>
      </c>
      <c r="H124" s="122"/>
      <c r="I124" s="122">
        <f t="shared" si="10"/>
        <v>0</v>
      </c>
      <c r="J124" s="122">
        <f t="shared" si="11"/>
        <v>0</v>
      </c>
    </row>
    <row r="125" spans="1:10" x14ac:dyDescent="0.25">
      <c r="A125" s="122"/>
      <c r="B125" s="98">
        <f t="shared" si="6"/>
        <v>111</v>
      </c>
      <c r="C125" s="122">
        <f t="shared" si="7"/>
        <v>0</v>
      </c>
      <c r="E125" s="122">
        <f t="shared" si="8"/>
        <v>0</v>
      </c>
      <c r="F125" s="122"/>
      <c r="G125" s="122">
        <f t="shared" si="9"/>
        <v>0</v>
      </c>
      <c r="H125" s="122"/>
      <c r="I125" s="122">
        <f t="shared" si="10"/>
        <v>0</v>
      </c>
      <c r="J125" s="122">
        <f t="shared" si="11"/>
        <v>0</v>
      </c>
    </row>
    <row r="126" spans="1:10" x14ac:dyDescent="0.25">
      <c r="A126" s="122"/>
      <c r="B126" s="98">
        <f t="shared" si="6"/>
        <v>112</v>
      </c>
      <c r="C126" s="122">
        <f t="shared" si="7"/>
        <v>0</v>
      </c>
      <c r="E126" s="122">
        <f t="shared" si="8"/>
        <v>0</v>
      </c>
      <c r="F126" s="122"/>
      <c r="G126" s="122">
        <f t="shared" si="9"/>
        <v>0</v>
      </c>
      <c r="H126" s="122"/>
      <c r="I126" s="122">
        <f t="shared" si="10"/>
        <v>0</v>
      </c>
      <c r="J126" s="122">
        <f t="shared" si="11"/>
        <v>0</v>
      </c>
    </row>
    <row r="127" spans="1:10" x14ac:dyDescent="0.25">
      <c r="A127" s="122"/>
      <c r="B127" s="98">
        <f t="shared" si="6"/>
        <v>113</v>
      </c>
      <c r="C127" s="122">
        <f t="shared" si="7"/>
        <v>0</v>
      </c>
      <c r="E127" s="122">
        <f t="shared" si="8"/>
        <v>0</v>
      </c>
      <c r="F127" s="122"/>
      <c r="G127" s="122">
        <f t="shared" si="9"/>
        <v>0</v>
      </c>
      <c r="H127" s="122"/>
      <c r="I127" s="122">
        <f t="shared" si="10"/>
        <v>0</v>
      </c>
      <c r="J127" s="122">
        <f t="shared" si="11"/>
        <v>0</v>
      </c>
    </row>
    <row r="128" spans="1:10" x14ac:dyDescent="0.25">
      <c r="A128" s="122"/>
      <c r="B128" s="98">
        <f t="shared" si="6"/>
        <v>114</v>
      </c>
      <c r="C128" s="122">
        <f t="shared" si="7"/>
        <v>0</v>
      </c>
      <c r="E128" s="122">
        <f t="shared" si="8"/>
        <v>0</v>
      </c>
      <c r="F128" s="122"/>
      <c r="G128" s="122">
        <f t="shared" si="9"/>
        <v>0</v>
      </c>
      <c r="H128" s="122"/>
      <c r="I128" s="122">
        <f t="shared" si="10"/>
        <v>0</v>
      </c>
      <c r="J128" s="122">
        <f t="shared" si="11"/>
        <v>0</v>
      </c>
    </row>
    <row r="129" spans="1:10" x14ac:dyDescent="0.25">
      <c r="A129" s="122"/>
      <c r="B129" s="98">
        <f t="shared" si="6"/>
        <v>115</v>
      </c>
      <c r="C129" s="122">
        <f t="shared" si="7"/>
        <v>0</v>
      </c>
      <c r="E129" s="122">
        <f t="shared" si="8"/>
        <v>0</v>
      </c>
      <c r="F129" s="122"/>
      <c r="G129" s="122">
        <f t="shared" si="9"/>
        <v>0</v>
      </c>
      <c r="H129" s="122"/>
      <c r="I129" s="122">
        <f t="shared" si="10"/>
        <v>0</v>
      </c>
      <c r="J129" s="122">
        <f t="shared" si="11"/>
        <v>0</v>
      </c>
    </row>
    <row r="130" spans="1:10" x14ac:dyDescent="0.25">
      <c r="A130" s="122"/>
      <c r="B130" s="98">
        <f t="shared" si="6"/>
        <v>116</v>
      </c>
      <c r="C130" s="122">
        <f t="shared" si="7"/>
        <v>0</v>
      </c>
      <c r="E130" s="122">
        <f t="shared" si="8"/>
        <v>0</v>
      </c>
      <c r="F130" s="122"/>
      <c r="G130" s="122">
        <f t="shared" si="9"/>
        <v>0</v>
      </c>
      <c r="H130" s="122"/>
      <c r="I130" s="122">
        <f t="shared" si="10"/>
        <v>0</v>
      </c>
      <c r="J130" s="122">
        <f t="shared" si="11"/>
        <v>0</v>
      </c>
    </row>
    <row r="131" spans="1:10" x14ac:dyDescent="0.25">
      <c r="A131" s="122"/>
      <c r="B131" s="98">
        <f t="shared" si="6"/>
        <v>117</v>
      </c>
      <c r="C131" s="122">
        <f t="shared" si="7"/>
        <v>0</v>
      </c>
      <c r="E131" s="122">
        <f t="shared" si="8"/>
        <v>0</v>
      </c>
      <c r="F131" s="122"/>
      <c r="G131" s="122">
        <f t="shared" si="9"/>
        <v>0</v>
      </c>
      <c r="H131" s="122"/>
      <c r="I131" s="122">
        <f t="shared" si="10"/>
        <v>0</v>
      </c>
      <c r="J131" s="122">
        <f t="shared" si="11"/>
        <v>0</v>
      </c>
    </row>
    <row r="132" spans="1:10" x14ac:dyDescent="0.25">
      <c r="A132" s="122"/>
      <c r="B132" s="98">
        <f t="shared" si="6"/>
        <v>118</v>
      </c>
      <c r="C132" s="122">
        <f t="shared" si="7"/>
        <v>0</v>
      </c>
      <c r="E132" s="122">
        <f t="shared" si="8"/>
        <v>0</v>
      </c>
      <c r="F132" s="122"/>
      <c r="G132" s="122">
        <f t="shared" si="9"/>
        <v>0</v>
      </c>
      <c r="H132" s="122"/>
      <c r="I132" s="122">
        <f t="shared" si="10"/>
        <v>0</v>
      </c>
      <c r="J132" s="122">
        <f t="shared" si="11"/>
        <v>0</v>
      </c>
    </row>
    <row r="133" spans="1:10" x14ac:dyDescent="0.25">
      <c r="A133" s="122"/>
      <c r="B133" s="98">
        <f t="shared" si="6"/>
        <v>119</v>
      </c>
      <c r="C133" s="122">
        <f t="shared" si="7"/>
        <v>0</v>
      </c>
      <c r="E133" s="122">
        <f t="shared" si="8"/>
        <v>0</v>
      </c>
      <c r="F133" s="122"/>
      <c r="G133" s="122">
        <f t="shared" si="9"/>
        <v>0</v>
      </c>
      <c r="H133" s="122"/>
      <c r="I133" s="122">
        <f t="shared" si="10"/>
        <v>0</v>
      </c>
      <c r="J133" s="122">
        <f t="shared" si="11"/>
        <v>0</v>
      </c>
    </row>
    <row r="134" spans="1:10" x14ac:dyDescent="0.25">
      <c r="A134" s="122"/>
      <c r="B134" s="98">
        <f t="shared" si="6"/>
        <v>120</v>
      </c>
      <c r="C134" s="122">
        <f t="shared" si="7"/>
        <v>0</v>
      </c>
      <c r="E134" s="122">
        <f t="shared" si="8"/>
        <v>0</v>
      </c>
      <c r="F134" s="122"/>
      <c r="G134" s="122">
        <f t="shared" si="9"/>
        <v>0</v>
      </c>
      <c r="H134" s="122"/>
      <c r="I134" s="122">
        <f t="shared" si="10"/>
        <v>0</v>
      </c>
      <c r="J134" s="122">
        <f t="shared" si="11"/>
        <v>0</v>
      </c>
    </row>
    <row r="135" spans="1:10" x14ac:dyDescent="0.25">
      <c r="A135" s="122"/>
      <c r="B135" s="98">
        <f t="shared" si="6"/>
        <v>121</v>
      </c>
      <c r="C135" s="122">
        <f t="shared" si="7"/>
        <v>0</v>
      </c>
      <c r="E135" s="122">
        <f t="shared" si="8"/>
        <v>0</v>
      </c>
      <c r="F135" s="122"/>
      <c r="G135" s="122">
        <f t="shared" si="9"/>
        <v>0</v>
      </c>
      <c r="H135" s="122"/>
      <c r="I135" s="122">
        <f t="shared" si="10"/>
        <v>0</v>
      </c>
      <c r="J135" s="122">
        <f t="shared" si="11"/>
        <v>0</v>
      </c>
    </row>
    <row r="136" spans="1:10" x14ac:dyDescent="0.25">
      <c r="A136" s="122"/>
      <c r="B136" s="98">
        <f t="shared" si="6"/>
        <v>122</v>
      </c>
      <c r="C136" s="122">
        <f t="shared" si="7"/>
        <v>0</v>
      </c>
      <c r="E136" s="122">
        <f t="shared" si="8"/>
        <v>0</v>
      </c>
      <c r="F136" s="122"/>
      <c r="G136" s="122">
        <f t="shared" si="9"/>
        <v>0</v>
      </c>
      <c r="H136" s="122"/>
      <c r="I136" s="122">
        <f t="shared" si="10"/>
        <v>0</v>
      </c>
      <c r="J136" s="122">
        <f t="shared" si="11"/>
        <v>0</v>
      </c>
    </row>
    <row r="137" spans="1:10" x14ac:dyDescent="0.25">
      <c r="A137" s="122"/>
      <c r="B137" s="98">
        <f t="shared" si="6"/>
        <v>123</v>
      </c>
      <c r="C137" s="122">
        <f t="shared" si="7"/>
        <v>0</v>
      </c>
      <c r="E137" s="122">
        <f t="shared" si="8"/>
        <v>0</v>
      </c>
      <c r="F137" s="122"/>
      <c r="G137" s="122">
        <f t="shared" si="9"/>
        <v>0</v>
      </c>
      <c r="H137" s="122"/>
      <c r="I137" s="122">
        <f t="shared" si="10"/>
        <v>0</v>
      </c>
      <c r="J137" s="122">
        <f t="shared" si="11"/>
        <v>0</v>
      </c>
    </row>
    <row r="138" spans="1:10" x14ac:dyDescent="0.25">
      <c r="A138" s="122"/>
      <c r="B138" s="98">
        <f t="shared" si="6"/>
        <v>124</v>
      </c>
      <c r="C138" s="122">
        <f t="shared" si="7"/>
        <v>0</v>
      </c>
      <c r="E138" s="122">
        <f t="shared" si="8"/>
        <v>0</v>
      </c>
      <c r="F138" s="122"/>
      <c r="G138" s="122">
        <f t="shared" si="9"/>
        <v>0</v>
      </c>
      <c r="H138" s="122"/>
      <c r="I138" s="122">
        <f t="shared" si="10"/>
        <v>0</v>
      </c>
      <c r="J138" s="122">
        <f t="shared" si="11"/>
        <v>0</v>
      </c>
    </row>
    <row r="139" spans="1:10" x14ac:dyDescent="0.25">
      <c r="A139" s="122"/>
      <c r="B139" s="98">
        <f t="shared" si="6"/>
        <v>125</v>
      </c>
      <c r="C139" s="122">
        <f t="shared" si="7"/>
        <v>0</v>
      </c>
      <c r="E139" s="122">
        <f t="shared" si="8"/>
        <v>0</v>
      </c>
      <c r="F139" s="122"/>
      <c r="G139" s="122">
        <f t="shared" si="9"/>
        <v>0</v>
      </c>
      <c r="H139" s="122"/>
      <c r="I139" s="122">
        <f t="shared" si="10"/>
        <v>0</v>
      </c>
      <c r="J139" s="122">
        <f t="shared" si="11"/>
        <v>0</v>
      </c>
    </row>
    <row r="140" spans="1:10" x14ac:dyDescent="0.25">
      <c r="A140" s="122"/>
      <c r="B140" s="98">
        <f t="shared" si="6"/>
        <v>126</v>
      </c>
      <c r="C140" s="122">
        <f t="shared" si="7"/>
        <v>0</v>
      </c>
      <c r="E140" s="122">
        <f t="shared" si="8"/>
        <v>0</v>
      </c>
      <c r="F140" s="122"/>
      <c r="G140" s="122">
        <f t="shared" si="9"/>
        <v>0</v>
      </c>
      <c r="H140" s="122"/>
      <c r="I140" s="122">
        <f t="shared" si="10"/>
        <v>0</v>
      </c>
      <c r="J140" s="122">
        <f t="shared" si="11"/>
        <v>0</v>
      </c>
    </row>
    <row r="141" spans="1:10" x14ac:dyDescent="0.25">
      <c r="A141" s="122"/>
      <c r="B141" s="98">
        <f t="shared" si="6"/>
        <v>127</v>
      </c>
      <c r="C141" s="122">
        <f t="shared" si="7"/>
        <v>0</v>
      </c>
      <c r="E141" s="122">
        <f t="shared" si="8"/>
        <v>0</v>
      </c>
      <c r="F141" s="122"/>
      <c r="G141" s="122">
        <f t="shared" si="9"/>
        <v>0</v>
      </c>
      <c r="H141" s="122"/>
      <c r="I141" s="122">
        <f t="shared" si="10"/>
        <v>0</v>
      </c>
      <c r="J141" s="122">
        <f t="shared" si="11"/>
        <v>0</v>
      </c>
    </row>
    <row r="142" spans="1:10" x14ac:dyDescent="0.25">
      <c r="A142" s="122"/>
      <c r="B142" s="98">
        <f t="shared" si="6"/>
        <v>128</v>
      </c>
      <c r="C142" s="122">
        <f t="shared" si="7"/>
        <v>0</v>
      </c>
      <c r="E142" s="122">
        <f t="shared" si="8"/>
        <v>0</v>
      </c>
      <c r="F142" s="122"/>
      <c r="G142" s="122">
        <f t="shared" si="9"/>
        <v>0</v>
      </c>
      <c r="H142" s="122"/>
      <c r="I142" s="122">
        <f t="shared" si="10"/>
        <v>0</v>
      </c>
      <c r="J142" s="122">
        <f t="shared" si="11"/>
        <v>0</v>
      </c>
    </row>
    <row r="143" spans="1:10" x14ac:dyDescent="0.25">
      <c r="A143" s="122"/>
      <c r="B143" s="98">
        <f t="shared" si="6"/>
        <v>129</v>
      </c>
      <c r="C143" s="122">
        <f t="shared" si="7"/>
        <v>0</v>
      </c>
      <c r="E143" s="122">
        <f t="shared" si="8"/>
        <v>0</v>
      </c>
      <c r="F143" s="122"/>
      <c r="G143" s="122">
        <f t="shared" si="9"/>
        <v>0</v>
      </c>
      <c r="H143" s="122"/>
      <c r="I143" s="122">
        <f t="shared" si="10"/>
        <v>0</v>
      </c>
      <c r="J143" s="122">
        <f t="shared" si="11"/>
        <v>0</v>
      </c>
    </row>
    <row r="144" spans="1:10" x14ac:dyDescent="0.25">
      <c r="A144" s="122"/>
      <c r="B144" s="98">
        <f t="shared" ref="B144:B207" si="12">B143+1</f>
        <v>130</v>
      </c>
      <c r="C144" s="122">
        <f t="shared" ref="C144:C207" si="13">IF(B144&gt;$G$8+$L$7,0,J143)</f>
        <v>0</v>
      </c>
      <c r="E144" s="122">
        <f t="shared" ref="E144:E207" si="14">IFERROR(-IF(AND($L$6&gt;0,B144&lt;=$L$7),-$E$10*$E$6,PMT($E$10,$G$8,$E$6))*IF(B144&gt;$G$8+$L$7,0,1),0)</f>
        <v>0</v>
      </c>
      <c r="F144" s="122"/>
      <c r="G144" s="122">
        <f t="shared" ref="G144:G207" si="15">IF(AND($L$6&gt;0,B144&lt;=$L$7),0,C144-J144)</f>
        <v>0</v>
      </c>
      <c r="H144" s="122"/>
      <c r="I144" s="122">
        <f t="shared" ref="I144:I207" si="16">E144-G144</f>
        <v>0</v>
      </c>
      <c r="J144" s="122">
        <f t="shared" ref="J144:J207" si="17">-FV($E$10,1,-E144,C144)</f>
        <v>0</v>
      </c>
    </row>
    <row r="145" spans="1:10" x14ac:dyDescent="0.25">
      <c r="A145" s="122"/>
      <c r="B145" s="98">
        <f t="shared" si="12"/>
        <v>131</v>
      </c>
      <c r="C145" s="122">
        <f t="shared" si="13"/>
        <v>0</v>
      </c>
      <c r="E145" s="122">
        <f t="shared" si="14"/>
        <v>0</v>
      </c>
      <c r="F145" s="122"/>
      <c r="G145" s="122">
        <f t="shared" si="15"/>
        <v>0</v>
      </c>
      <c r="H145" s="122"/>
      <c r="I145" s="122">
        <f t="shared" si="16"/>
        <v>0</v>
      </c>
      <c r="J145" s="122">
        <f t="shared" si="17"/>
        <v>0</v>
      </c>
    </row>
    <row r="146" spans="1:10" x14ac:dyDescent="0.25">
      <c r="A146" s="122"/>
      <c r="B146" s="98">
        <f t="shared" si="12"/>
        <v>132</v>
      </c>
      <c r="C146" s="122">
        <f t="shared" si="13"/>
        <v>0</v>
      </c>
      <c r="E146" s="122">
        <f t="shared" si="14"/>
        <v>0</v>
      </c>
      <c r="F146" s="122"/>
      <c r="G146" s="122">
        <f t="shared" si="15"/>
        <v>0</v>
      </c>
      <c r="H146" s="122"/>
      <c r="I146" s="122">
        <f t="shared" si="16"/>
        <v>0</v>
      </c>
      <c r="J146" s="122">
        <f t="shared" si="17"/>
        <v>0</v>
      </c>
    </row>
    <row r="147" spans="1:10" x14ac:dyDescent="0.25">
      <c r="A147" s="122"/>
      <c r="B147" s="98">
        <f t="shared" si="12"/>
        <v>133</v>
      </c>
      <c r="C147" s="122">
        <f t="shared" si="13"/>
        <v>0</v>
      </c>
      <c r="E147" s="122">
        <f t="shared" si="14"/>
        <v>0</v>
      </c>
      <c r="F147" s="122"/>
      <c r="G147" s="122">
        <f t="shared" si="15"/>
        <v>0</v>
      </c>
      <c r="H147" s="122"/>
      <c r="I147" s="122">
        <f t="shared" si="16"/>
        <v>0</v>
      </c>
      <c r="J147" s="122">
        <f t="shared" si="17"/>
        <v>0</v>
      </c>
    </row>
    <row r="148" spans="1:10" x14ac:dyDescent="0.25">
      <c r="A148" s="122"/>
      <c r="B148" s="98">
        <f t="shared" si="12"/>
        <v>134</v>
      </c>
      <c r="C148" s="122">
        <f t="shared" si="13"/>
        <v>0</v>
      </c>
      <c r="E148" s="122">
        <f t="shared" si="14"/>
        <v>0</v>
      </c>
      <c r="F148" s="122"/>
      <c r="G148" s="122">
        <f t="shared" si="15"/>
        <v>0</v>
      </c>
      <c r="H148" s="122"/>
      <c r="I148" s="122">
        <f t="shared" si="16"/>
        <v>0</v>
      </c>
      <c r="J148" s="122">
        <f t="shared" si="17"/>
        <v>0</v>
      </c>
    </row>
    <row r="149" spans="1:10" x14ac:dyDescent="0.25">
      <c r="A149" s="122"/>
      <c r="B149" s="98">
        <f t="shared" si="12"/>
        <v>135</v>
      </c>
      <c r="C149" s="122">
        <f t="shared" si="13"/>
        <v>0</v>
      </c>
      <c r="E149" s="122">
        <f t="shared" si="14"/>
        <v>0</v>
      </c>
      <c r="F149" s="122"/>
      <c r="G149" s="122">
        <f t="shared" si="15"/>
        <v>0</v>
      </c>
      <c r="H149" s="122"/>
      <c r="I149" s="122">
        <f t="shared" si="16"/>
        <v>0</v>
      </c>
      <c r="J149" s="122">
        <f t="shared" si="17"/>
        <v>0</v>
      </c>
    </row>
    <row r="150" spans="1:10" x14ac:dyDescent="0.25">
      <c r="A150" s="122"/>
      <c r="B150" s="98">
        <f t="shared" si="12"/>
        <v>136</v>
      </c>
      <c r="C150" s="122">
        <f t="shared" si="13"/>
        <v>0</v>
      </c>
      <c r="E150" s="122">
        <f t="shared" si="14"/>
        <v>0</v>
      </c>
      <c r="F150" s="122"/>
      <c r="G150" s="122">
        <f t="shared" si="15"/>
        <v>0</v>
      </c>
      <c r="H150" s="122"/>
      <c r="I150" s="122">
        <f t="shared" si="16"/>
        <v>0</v>
      </c>
      <c r="J150" s="122">
        <f t="shared" si="17"/>
        <v>0</v>
      </c>
    </row>
    <row r="151" spans="1:10" x14ac:dyDescent="0.25">
      <c r="A151" s="122"/>
      <c r="B151" s="98">
        <f t="shared" si="12"/>
        <v>137</v>
      </c>
      <c r="C151" s="122">
        <f t="shared" si="13"/>
        <v>0</v>
      </c>
      <c r="E151" s="122">
        <f t="shared" si="14"/>
        <v>0</v>
      </c>
      <c r="F151" s="122"/>
      <c r="G151" s="122">
        <f t="shared" si="15"/>
        <v>0</v>
      </c>
      <c r="H151" s="122"/>
      <c r="I151" s="122">
        <f t="shared" si="16"/>
        <v>0</v>
      </c>
      <c r="J151" s="122">
        <f t="shared" si="17"/>
        <v>0</v>
      </c>
    </row>
    <row r="152" spans="1:10" x14ac:dyDescent="0.25">
      <c r="A152" s="122"/>
      <c r="B152" s="98">
        <f t="shared" si="12"/>
        <v>138</v>
      </c>
      <c r="C152" s="122">
        <f t="shared" si="13"/>
        <v>0</v>
      </c>
      <c r="E152" s="122">
        <f t="shared" si="14"/>
        <v>0</v>
      </c>
      <c r="F152" s="122"/>
      <c r="G152" s="122">
        <f t="shared" si="15"/>
        <v>0</v>
      </c>
      <c r="H152" s="122"/>
      <c r="I152" s="122">
        <f t="shared" si="16"/>
        <v>0</v>
      </c>
      <c r="J152" s="122">
        <f t="shared" si="17"/>
        <v>0</v>
      </c>
    </row>
    <row r="153" spans="1:10" x14ac:dyDescent="0.25">
      <c r="A153" s="122"/>
      <c r="B153" s="98">
        <f t="shared" si="12"/>
        <v>139</v>
      </c>
      <c r="C153" s="122">
        <f t="shared" si="13"/>
        <v>0</v>
      </c>
      <c r="E153" s="122">
        <f t="shared" si="14"/>
        <v>0</v>
      </c>
      <c r="F153" s="122"/>
      <c r="G153" s="122">
        <f t="shared" si="15"/>
        <v>0</v>
      </c>
      <c r="H153" s="122"/>
      <c r="I153" s="122">
        <f t="shared" si="16"/>
        <v>0</v>
      </c>
      <c r="J153" s="122">
        <f t="shared" si="17"/>
        <v>0</v>
      </c>
    </row>
    <row r="154" spans="1:10" x14ac:dyDescent="0.25">
      <c r="A154" s="122"/>
      <c r="B154" s="98">
        <f t="shared" si="12"/>
        <v>140</v>
      </c>
      <c r="C154" s="122">
        <f t="shared" si="13"/>
        <v>0</v>
      </c>
      <c r="E154" s="122">
        <f t="shared" si="14"/>
        <v>0</v>
      </c>
      <c r="F154" s="122"/>
      <c r="G154" s="122">
        <f t="shared" si="15"/>
        <v>0</v>
      </c>
      <c r="H154" s="122"/>
      <c r="I154" s="122">
        <f t="shared" si="16"/>
        <v>0</v>
      </c>
      <c r="J154" s="122">
        <f t="shared" si="17"/>
        <v>0</v>
      </c>
    </row>
    <row r="155" spans="1:10" x14ac:dyDescent="0.25">
      <c r="A155" s="122"/>
      <c r="B155" s="98">
        <f t="shared" si="12"/>
        <v>141</v>
      </c>
      <c r="C155" s="122">
        <f t="shared" si="13"/>
        <v>0</v>
      </c>
      <c r="E155" s="122">
        <f t="shared" si="14"/>
        <v>0</v>
      </c>
      <c r="F155" s="122"/>
      <c r="G155" s="122">
        <f t="shared" si="15"/>
        <v>0</v>
      </c>
      <c r="H155" s="122"/>
      <c r="I155" s="122">
        <f t="shared" si="16"/>
        <v>0</v>
      </c>
      <c r="J155" s="122">
        <f t="shared" si="17"/>
        <v>0</v>
      </c>
    </row>
    <row r="156" spans="1:10" x14ac:dyDescent="0.25">
      <c r="A156" s="122"/>
      <c r="B156" s="98">
        <f t="shared" si="12"/>
        <v>142</v>
      </c>
      <c r="C156" s="122">
        <f t="shared" si="13"/>
        <v>0</v>
      </c>
      <c r="E156" s="122">
        <f t="shared" si="14"/>
        <v>0</v>
      </c>
      <c r="F156" s="122"/>
      <c r="G156" s="122">
        <f t="shared" si="15"/>
        <v>0</v>
      </c>
      <c r="H156" s="122"/>
      <c r="I156" s="122">
        <f t="shared" si="16"/>
        <v>0</v>
      </c>
      <c r="J156" s="122">
        <f t="shared" si="17"/>
        <v>0</v>
      </c>
    </row>
    <row r="157" spans="1:10" x14ac:dyDescent="0.25">
      <c r="A157" s="122"/>
      <c r="B157" s="98">
        <f t="shared" si="12"/>
        <v>143</v>
      </c>
      <c r="C157" s="122">
        <f t="shared" si="13"/>
        <v>0</v>
      </c>
      <c r="E157" s="122">
        <f t="shared" si="14"/>
        <v>0</v>
      </c>
      <c r="F157" s="122"/>
      <c r="G157" s="122">
        <f t="shared" si="15"/>
        <v>0</v>
      </c>
      <c r="H157" s="122"/>
      <c r="I157" s="122">
        <f t="shared" si="16"/>
        <v>0</v>
      </c>
      <c r="J157" s="122">
        <f t="shared" si="17"/>
        <v>0</v>
      </c>
    </row>
    <row r="158" spans="1:10" x14ac:dyDescent="0.25">
      <c r="A158" s="122"/>
      <c r="B158" s="98">
        <f t="shared" si="12"/>
        <v>144</v>
      </c>
      <c r="C158" s="122">
        <f t="shared" si="13"/>
        <v>0</v>
      </c>
      <c r="E158" s="122">
        <f t="shared" si="14"/>
        <v>0</v>
      </c>
      <c r="F158" s="122"/>
      <c r="G158" s="122">
        <f t="shared" si="15"/>
        <v>0</v>
      </c>
      <c r="H158" s="122"/>
      <c r="I158" s="122">
        <f t="shared" si="16"/>
        <v>0</v>
      </c>
      <c r="J158" s="122">
        <f t="shared" si="17"/>
        <v>0</v>
      </c>
    </row>
    <row r="159" spans="1:10" x14ac:dyDescent="0.25">
      <c r="A159" s="122"/>
      <c r="B159" s="98">
        <f t="shared" si="12"/>
        <v>145</v>
      </c>
      <c r="C159" s="122">
        <f t="shared" si="13"/>
        <v>0</v>
      </c>
      <c r="E159" s="122">
        <f t="shared" si="14"/>
        <v>0</v>
      </c>
      <c r="F159" s="122"/>
      <c r="G159" s="122">
        <f t="shared" si="15"/>
        <v>0</v>
      </c>
      <c r="H159" s="122"/>
      <c r="I159" s="122">
        <f t="shared" si="16"/>
        <v>0</v>
      </c>
      <c r="J159" s="122">
        <f t="shared" si="17"/>
        <v>0</v>
      </c>
    </row>
    <row r="160" spans="1:10" x14ac:dyDescent="0.25">
      <c r="A160" s="122"/>
      <c r="B160" s="98">
        <f t="shared" si="12"/>
        <v>146</v>
      </c>
      <c r="C160" s="122">
        <f t="shared" si="13"/>
        <v>0</v>
      </c>
      <c r="E160" s="122">
        <f t="shared" si="14"/>
        <v>0</v>
      </c>
      <c r="F160" s="122"/>
      <c r="G160" s="122">
        <f t="shared" si="15"/>
        <v>0</v>
      </c>
      <c r="H160" s="122"/>
      <c r="I160" s="122">
        <f t="shared" si="16"/>
        <v>0</v>
      </c>
      <c r="J160" s="122">
        <f t="shared" si="17"/>
        <v>0</v>
      </c>
    </row>
    <row r="161" spans="1:10" x14ac:dyDescent="0.25">
      <c r="A161" s="122"/>
      <c r="B161" s="98">
        <f t="shared" si="12"/>
        <v>147</v>
      </c>
      <c r="C161" s="122">
        <f t="shared" si="13"/>
        <v>0</v>
      </c>
      <c r="E161" s="122">
        <f t="shared" si="14"/>
        <v>0</v>
      </c>
      <c r="F161" s="122"/>
      <c r="G161" s="122">
        <f t="shared" si="15"/>
        <v>0</v>
      </c>
      <c r="H161" s="122"/>
      <c r="I161" s="122">
        <f t="shared" si="16"/>
        <v>0</v>
      </c>
      <c r="J161" s="122">
        <f t="shared" si="17"/>
        <v>0</v>
      </c>
    </row>
    <row r="162" spans="1:10" x14ac:dyDescent="0.25">
      <c r="A162" s="122"/>
      <c r="B162" s="98">
        <f t="shared" si="12"/>
        <v>148</v>
      </c>
      <c r="C162" s="122">
        <f t="shared" si="13"/>
        <v>0</v>
      </c>
      <c r="E162" s="122">
        <f t="shared" si="14"/>
        <v>0</v>
      </c>
      <c r="F162" s="122"/>
      <c r="G162" s="122">
        <f t="shared" si="15"/>
        <v>0</v>
      </c>
      <c r="H162" s="122"/>
      <c r="I162" s="122">
        <f t="shared" si="16"/>
        <v>0</v>
      </c>
      <c r="J162" s="122">
        <f t="shared" si="17"/>
        <v>0</v>
      </c>
    </row>
    <row r="163" spans="1:10" x14ac:dyDescent="0.25">
      <c r="A163" s="122"/>
      <c r="B163" s="98">
        <f t="shared" si="12"/>
        <v>149</v>
      </c>
      <c r="C163" s="122">
        <f t="shared" si="13"/>
        <v>0</v>
      </c>
      <c r="E163" s="122">
        <f t="shared" si="14"/>
        <v>0</v>
      </c>
      <c r="F163" s="122"/>
      <c r="G163" s="122">
        <f t="shared" si="15"/>
        <v>0</v>
      </c>
      <c r="H163" s="122"/>
      <c r="I163" s="122">
        <f t="shared" si="16"/>
        <v>0</v>
      </c>
      <c r="J163" s="122">
        <f t="shared" si="17"/>
        <v>0</v>
      </c>
    </row>
    <row r="164" spans="1:10" x14ac:dyDescent="0.25">
      <c r="A164" s="122"/>
      <c r="B164" s="98">
        <f t="shared" si="12"/>
        <v>150</v>
      </c>
      <c r="C164" s="122">
        <f t="shared" si="13"/>
        <v>0</v>
      </c>
      <c r="E164" s="122">
        <f t="shared" si="14"/>
        <v>0</v>
      </c>
      <c r="F164" s="122"/>
      <c r="G164" s="122">
        <f t="shared" si="15"/>
        <v>0</v>
      </c>
      <c r="H164" s="122"/>
      <c r="I164" s="122">
        <f t="shared" si="16"/>
        <v>0</v>
      </c>
      <c r="J164" s="122">
        <f t="shared" si="17"/>
        <v>0</v>
      </c>
    </row>
    <row r="165" spans="1:10" x14ac:dyDescent="0.25">
      <c r="A165" s="122"/>
      <c r="B165" s="98">
        <f t="shared" si="12"/>
        <v>151</v>
      </c>
      <c r="C165" s="122">
        <f t="shared" si="13"/>
        <v>0</v>
      </c>
      <c r="E165" s="122">
        <f t="shared" si="14"/>
        <v>0</v>
      </c>
      <c r="F165" s="122"/>
      <c r="G165" s="122">
        <f t="shared" si="15"/>
        <v>0</v>
      </c>
      <c r="H165" s="122"/>
      <c r="I165" s="122">
        <f t="shared" si="16"/>
        <v>0</v>
      </c>
      <c r="J165" s="122">
        <f t="shared" si="17"/>
        <v>0</v>
      </c>
    </row>
    <row r="166" spans="1:10" x14ac:dyDescent="0.25">
      <c r="A166" s="122"/>
      <c r="B166" s="98">
        <f t="shared" si="12"/>
        <v>152</v>
      </c>
      <c r="C166" s="122">
        <f t="shared" si="13"/>
        <v>0</v>
      </c>
      <c r="E166" s="122">
        <f t="shared" si="14"/>
        <v>0</v>
      </c>
      <c r="F166" s="122"/>
      <c r="G166" s="122">
        <f t="shared" si="15"/>
        <v>0</v>
      </c>
      <c r="H166" s="122"/>
      <c r="I166" s="122">
        <f t="shared" si="16"/>
        <v>0</v>
      </c>
      <c r="J166" s="122">
        <f t="shared" si="17"/>
        <v>0</v>
      </c>
    </row>
    <row r="167" spans="1:10" x14ac:dyDescent="0.25">
      <c r="A167" s="122"/>
      <c r="B167" s="98">
        <f t="shared" si="12"/>
        <v>153</v>
      </c>
      <c r="C167" s="122">
        <f t="shared" si="13"/>
        <v>0</v>
      </c>
      <c r="E167" s="122">
        <f t="shared" si="14"/>
        <v>0</v>
      </c>
      <c r="F167" s="122"/>
      <c r="G167" s="122">
        <f t="shared" si="15"/>
        <v>0</v>
      </c>
      <c r="H167" s="122"/>
      <c r="I167" s="122">
        <f t="shared" si="16"/>
        <v>0</v>
      </c>
      <c r="J167" s="122">
        <f t="shared" si="17"/>
        <v>0</v>
      </c>
    </row>
    <row r="168" spans="1:10" x14ac:dyDescent="0.25">
      <c r="A168" s="122"/>
      <c r="B168" s="98">
        <f t="shared" si="12"/>
        <v>154</v>
      </c>
      <c r="C168" s="122">
        <f t="shared" si="13"/>
        <v>0</v>
      </c>
      <c r="E168" s="122">
        <f t="shared" si="14"/>
        <v>0</v>
      </c>
      <c r="F168" s="122"/>
      <c r="G168" s="122">
        <f t="shared" si="15"/>
        <v>0</v>
      </c>
      <c r="H168" s="122"/>
      <c r="I168" s="122">
        <f t="shared" si="16"/>
        <v>0</v>
      </c>
      <c r="J168" s="122">
        <f t="shared" si="17"/>
        <v>0</v>
      </c>
    </row>
    <row r="169" spans="1:10" x14ac:dyDescent="0.25">
      <c r="A169" s="122"/>
      <c r="B169" s="98">
        <f t="shared" si="12"/>
        <v>155</v>
      </c>
      <c r="C169" s="122">
        <f t="shared" si="13"/>
        <v>0</v>
      </c>
      <c r="E169" s="122">
        <f t="shared" si="14"/>
        <v>0</v>
      </c>
      <c r="F169" s="122"/>
      <c r="G169" s="122">
        <f t="shared" si="15"/>
        <v>0</v>
      </c>
      <c r="H169" s="122"/>
      <c r="I169" s="122">
        <f t="shared" si="16"/>
        <v>0</v>
      </c>
      <c r="J169" s="122">
        <f t="shared" si="17"/>
        <v>0</v>
      </c>
    </row>
    <row r="170" spans="1:10" x14ac:dyDescent="0.25">
      <c r="A170" s="122"/>
      <c r="B170" s="98">
        <f t="shared" si="12"/>
        <v>156</v>
      </c>
      <c r="C170" s="122">
        <f t="shared" si="13"/>
        <v>0</v>
      </c>
      <c r="E170" s="122">
        <f t="shared" si="14"/>
        <v>0</v>
      </c>
      <c r="F170" s="122"/>
      <c r="G170" s="122">
        <f t="shared" si="15"/>
        <v>0</v>
      </c>
      <c r="H170" s="122"/>
      <c r="I170" s="122">
        <f t="shared" si="16"/>
        <v>0</v>
      </c>
      <c r="J170" s="122">
        <f t="shared" si="17"/>
        <v>0</v>
      </c>
    </row>
    <row r="171" spans="1:10" x14ac:dyDescent="0.25">
      <c r="A171" s="122"/>
      <c r="B171" s="98">
        <f t="shared" si="12"/>
        <v>157</v>
      </c>
      <c r="C171" s="122">
        <f t="shared" si="13"/>
        <v>0</v>
      </c>
      <c r="E171" s="122">
        <f t="shared" si="14"/>
        <v>0</v>
      </c>
      <c r="F171" s="122"/>
      <c r="G171" s="122">
        <f t="shared" si="15"/>
        <v>0</v>
      </c>
      <c r="H171" s="122"/>
      <c r="I171" s="122">
        <f t="shared" si="16"/>
        <v>0</v>
      </c>
      <c r="J171" s="122">
        <f t="shared" si="17"/>
        <v>0</v>
      </c>
    </row>
    <row r="172" spans="1:10" x14ac:dyDescent="0.25">
      <c r="A172" s="122"/>
      <c r="B172" s="98">
        <f t="shared" si="12"/>
        <v>158</v>
      </c>
      <c r="C172" s="122">
        <f t="shared" si="13"/>
        <v>0</v>
      </c>
      <c r="E172" s="122">
        <f t="shared" si="14"/>
        <v>0</v>
      </c>
      <c r="F172" s="122"/>
      <c r="G172" s="122">
        <f t="shared" si="15"/>
        <v>0</v>
      </c>
      <c r="H172" s="122"/>
      <c r="I172" s="122">
        <f t="shared" si="16"/>
        <v>0</v>
      </c>
      <c r="J172" s="122">
        <f t="shared" si="17"/>
        <v>0</v>
      </c>
    </row>
    <row r="173" spans="1:10" x14ac:dyDescent="0.25">
      <c r="A173" s="122"/>
      <c r="B173" s="98">
        <f t="shared" si="12"/>
        <v>159</v>
      </c>
      <c r="C173" s="122">
        <f t="shared" si="13"/>
        <v>0</v>
      </c>
      <c r="E173" s="122">
        <f t="shared" si="14"/>
        <v>0</v>
      </c>
      <c r="F173" s="122"/>
      <c r="G173" s="122">
        <f t="shared" si="15"/>
        <v>0</v>
      </c>
      <c r="H173" s="122"/>
      <c r="I173" s="122">
        <f t="shared" si="16"/>
        <v>0</v>
      </c>
      <c r="J173" s="122">
        <f t="shared" si="17"/>
        <v>0</v>
      </c>
    </row>
    <row r="174" spans="1:10" x14ac:dyDescent="0.25">
      <c r="A174" s="122"/>
      <c r="B174" s="98">
        <f t="shared" si="12"/>
        <v>160</v>
      </c>
      <c r="C174" s="122">
        <f t="shared" si="13"/>
        <v>0</v>
      </c>
      <c r="E174" s="122">
        <f t="shared" si="14"/>
        <v>0</v>
      </c>
      <c r="F174" s="122"/>
      <c r="G174" s="122">
        <f t="shared" si="15"/>
        <v>0</v>
      </c>
      <c r="H174" s="122"/>
      <c r="I174" s="122">
        <f t="shared" si="16"/>
        <v>0</v>
      </c>
      <c r="J174" s="122">
        <f t="shared" si="17"/>
        <v>0</v>
      </c>
    </row>
    <row r="175" spans="1:10" x14ac:dyDescent="0.25">
      <c r="A175" s="122"/>
      <c r="B175" s="98">
        <f t="shared" si="12"/>
        <v>161</v>
      </c>
      <c r="C175" s="122">
        <f t="shared" si="13"/>
        <v>0</v>
      </c>
      <c r="E175" s="122">
        <f t="shared" si="14"/>
        <v>0</v>
      </c>
      <c r="F175" s="122"/>
      <c r="G175" s="122">
        <f t="shared" si="15"/>
        <v>0</v>
      </c>
      <c r="H175" s="122"/>
      <c r="I175" s="122">
        <f t="shared" si="16"/>
        <v>0</v>
      </c>
      <c r="J175" s="122">
        <f t="shared" si="17"/>
        <v>0</v>
      </c>
    </row>
    <row r="176" spans="1:10" x14ac:dyDescent="0.25">
      <c r="A176" s="122"/>
      <c r="B176" s="98">
        <f t="shared" si="12"/>
        <v>162</v>
      </c>
      <c r="C176" s="122">
        <f t="shared" si="13"/>
        <v>0</v>
      </c>
      <c r="E176" s="122">
        <f t="shared" si="14"/>
        <v>0</v>
      </c>
      <c r="F176" s="122"/>
      <c r="G176" s="122">
        <f t="shared" si="15"/>
        <v>0</v>
      </c>
      <c r="H176" s="122"/>
      <c r="I176" s="122">
        <f t="shared" si="16"/>
        <v>0</v>
      </c>
      <c r="J176" s="122">
        <f t="shared" si="17"/>
        <v>0</v>
      </c>
    </row>
    <row r="177" spans="1:10" x14ac:dyDescent="0.25">
      <c r="A177" s="122"/>
      <c r="B177" s="98">
        <f t="shared" si="12"/>
        <v>163</v>
      </c>
      <c r="C177" s="122">
        <f t="shared" si="13"/>
        <v>0</v>
      </c>
      <c r="E177" s="122">
        <f t="shared" si="14"/>
        <v>0</v>
      </c>
      <c r="F177" s="122"/>
      <c r="G177" s="122">
        <f t="shared" si="15"/>
        <v>0</v>
      </c>
      <c r="H177" s="122"/>
      <c r="I177" s="122">
        <f t="shared" si="16"/>
        <v>0</v>
      </c>
      <c r="J177" s="122">
        <f t="shared" si="17"/>
        <v>0</v>
      </c>
    </row>
    <row r="178" spans="1:10" x14ac:dyDescent="0.25">
      <c r="A178" s="122"/>
      <c r="B178" s="98">
        <f t="shared" si="12"/>
        <v>164</v>
      </c>
      <c r="C178" s="122">
        <f t="shared" si="13"/>
        <v>0</v>
      </c>
      <c r="E178" s="122">
        <f t="shared" si="14"/>
        <v>0</v>
      </c>
      <c r="F178" s="122"/>
      <c r="G178" s="122">
        <f t="shared" si="15"/>
        <v>0</v>
      </c>
      <c r="H178" s="122"/>
      <c r="I178" s="122">
        <f t="shared" si="16"/>
        <v>0</v>
      </c>
      <c r="J178" s="122">
        <f t="shared" si="17"/>
        <v>0</v>
      </c>
    </row>
    <row r="179" spans="1:10" x14ac:dyDescent="0.25">
      <c r="A179" s="122"/>
      <c r="B179" s="98">
        <f t="shared" si="12"/>
        <v>165</v>
      </c>
      <c r="C179" s="122">
        <f t="shared" si="13"/>
        <v>0</v>
      </c>
      <c r="E179" s="122">
        <f t="shared" si="14"/>
        <v>0</v>
      </c>
      <c r="F179" s="122"/>
      <c r="G179" s="122">
        <f t="shared" si="15"/>
        <v>0</v>
      </c>
      <c r="H179" s="122"/>
      <c r="I179" s="122">
        <f t="shared" si="16"/>
        <v>0</v>
      </c>
      <c r="J179" s="122">
        <f t="shared" si="17"/>
        <v>0</v>
      </c>
    </row>
    <row r="180" spans="1:10" x14ac:dyDescent="0.25">
      <c r="A180" s="122"/>
      <c r="B180" s="98">
        <f t="shared" si="12"/>
        <v>166</v>
      </c>
      <c r="C180" s="122">
        <f t="shared" si="13"/>
        <v>0</v>
      </c>
      <c r="E180" s="122">
        <f t="shared" si="14"/>
        <v>0</v>
      </c>
      <c r="F180" s="122"/>
      <c r="G180" s="122">
        <f t="shared" si="15"/>
        <v>0</v>
      </c>
      <c r="H180" s="122"/>
      <c r="I180" s="122">
        <f t="shared" si="16"/>
        <v>0</v>
      </c>
      <c r="J180" s="122">
        <f t="shared" si="17"/>
        <v>0</v>
      </c>
    </row>
    <row r="181" spans="1:10" x14ac:dyDescent="0.25">
      <c r="A181" s="122"/>
      <c r="B181" s="98">
        <f t="shared" si="12"/>
        <v>167</v>
      </c>
      <c r="C181" s="122">
        <f t="shared" si="13"/>
        <v>0</v>
      </c>
      <c r="E181" s="122">
        <f t="shared" si="14"/>
        <v>0</v>
      </c>
      <c r="F181" s="122"/>
      <c r="G181" s="122">
        <f t="shared" si="15"/>
        <v>0</v>
      </c>
      <c r="H181" s="122"/>
      <c r="I181" s="122">
        <f t="shared" si="16"/>
        <v>0</v>
      </c>
      <c r="J181" s="122">
        <f t="shared" si="17"/>
        <v>0</v>
      </c>
    </row>
    <row r="182" spans="1:10" x14ac:dyDescent="0.25">
      <c r="A182" s="122"/>
      <c r="B182" s="98">
        <f t="shared" si="12"/>
        <v>168</v>
      </c>
      <c r="C182" s="122">
        <f t="shared" si="13"/>
        <v>0</v>
      </c>
      <c r="E182" s="122">
        <f t="shared" si="14"/>
        <v>0</v>
      </c>
      <c r="F182" s="122"/>
      <c r="G182" s="122">
        <f t="shared" si="15"/>
        <v>0</v>
      </c>
      <c r="H182" s="122"/>
      <c r="I182" s="122">
        <f t="shared" si="16"/>
        <v>0</v>
      </c>
      <c r="J182" s="122">
        <f t="shared" si="17"/>
        <v>0</v>
      </c>
    </row>
    <row r="183" spans="1:10" x14ac:dyDescent="0.25">
      <c r="A183" s="122"/>
      <c r="B183" s="98">
        <f t="shared" si="12"/>
        <v>169</v>
      </c>
      <c r="C183" s="122">
        <f t="shared" si="13"/>
        <v>0</v>
      </c>
      <c r="E183" s="122">
        <f t="shared" si="14"/>
        <v>0</v>
      </c>
      <c r="F183" s="122"/>
      <c r="G183" s="122">
        <f t="shared" si="15"/>
        <v>0</v>
      </c>
      <c r="H183" s="122"/>
      <c r="I183" s="122">
        <f t="shared" si="16"/>
        <v>0</v>
      </c>
      <c r="J183" s="122">
        <f t="shared" si="17"/>
        <v>0</v>
      </c>
    </row>
    <row r="184" spans="1:10" x14ac:dyDescent="0.25">
      <c r="A184" s="122"/>
      <c r="B184" s="98">
        <f t="shared" si="12"/>
        <v>170</v>
      </c>
      <c r="C184" s="122">
        <f t="shared" si="13"/>
        <v>0</v>
      </c>
      <c r="E184" s="122">
        <f t="shared" si="14"/>
        <v>0</v>
      </c>
      <c r="F184" s="122"/>
      <c r="G184" s="122">
        <f t="shared" si="15"/>
        <v>0</v>
      </c>
      <c r="H184" s="122"/>
      <c r="I184" s="122">
        <f t="shared" si="16"/>
        <v>0</v>
      </c>
      <c r="J184" s="122">
        <f t="shared" si="17"/>
        <v>0</v>
      </c>
    </row>
    <row r="185" spans="1:10" x14ac:dyDescent="0.25">
      <c r="A185" s="122"/>
      <c r="B185" s="98">
        <f t="shared" si="12"/>
        <v>171</v>
      </c>
      <c r="C185" s="122">
        <f t="shared" si="13"/>
        <v>0</v>
      </c>
      <c r="E185" s="122">
        <f t="shared" si="14"/>
        <v>0</v>
      </c>
      <c r="F185" s="122"/>
      <c r="G185" s="122">
        <f t="shared" si="15"/>
        <v>0</v>
      </c>
      <c r="H185" s="122"/>
      <c r="I185" s="122">
        <f t="shared" si="16"/>
        <v>0</v>
      </c>
      <c r="J185" s="122">
        <f t="shared" si="17"/>
        <v>0</v>
      </c>
    </row>
    <row r="186" spans="1:10" x14ac:dyDescent="0.25">
      <c r="A186" s="122"/>
      <c r="B186" s="98">
        <f t="shared" si="12"/>
        <v>172</v>
      </c>
      <c r="C186" s="122">
        <f t="shared" si="13"/>
        <v>0</v>
      </c>
      <c r="E186" s="122">
        <f t="shared" si="14"/>
        <v>0</v>
      </c>
      <c r="F186" s="122"/>
      <c r="G186" s="122">
        <f t="shared" si="15"/>
        <v>0</v>
      </c>
      <c r="H186" s="122"/>
      <c r="I186" s="122">
        <f t="shared" si="16"/>
        <v>0</v>
      </c>
      <c r="J186" s="122">
        <f t="shared" si="17"/>
        <v>0</v>
      </c>
    </row>
    <row r="187" spans="1:10" x14ac:dyDescent="0.25">
      <c r="A187" s="122"/>
      <c r="B187" s="98">
        <f t="shared" si="12"/>
        <v>173</v>
      </c>
      <c r="C187" s="122">
        <f t="shared" si="13"/>
        <v>0</v>
      </c>
      <c r="E187" s="122">
        <f t="shared" si="14"/>
        <v>0</v>
      </c>
      <c r="F187" s="122"/>
      <c r="G187" s="122">
        <f t="shared" si="15"/>
        <v>0</v>
      </c>
      <c r="H187" s="122"/>
      <c r="I187" s="122">
        <f t="shared" si="16"/>
        <v>0</v>
      </c>
      <c r="J187" s="122">
        <f t="shared" si="17"/>
        <v>0</v>
      </c>
    </row>
    <row r="188" spans="1:10" x14ac:dyDescent="0.25">
      <c r="A188" s="122"/>
      <c r="B188" s="98">
        <f t="shared" si="12"/>
        <v>174</v>
      </c>
      <c r="C188" s="122">
        <f t="shared" si="13"/>
        <v>0</v>
      </c>
      <c r="E188" s="122">
        <f t="shared" si="14"/>
        <v>0</v>
      </c>
      <c r="F188" s="122"/>
      <c r="G188" s="122">
        <f t="shared" si="15"/>
        <v>0</v>
      </c>
      <c r="H188" s="122"/>
      <c r="I188" s="122">
        <f t="shared" si="16"/>
        <v>0</v>
      </c>
      <c r="J188" s="122">
        <f t="shared" si="17"/>
        <v>0</v>
      </c>
    </row>
    <row r="189" spans="1:10" x14ac:dyDescent="0.25">
      <c r="A189" s="122"/>
      <c r="B189" s="98">
        <f t="shared" si="12"/>
        <v>175</v>
      </c>
      <c r="C189" s="122">
        <f t="shared" si="13"/>
        <v>0</v>
      </c>
      <c r="E189" s="122">
        <f t="shared" si="14"/>
        <v>0</v>
      </c>
      <c r="F189" s="122"/>
      <c r="G189" s="122">
        <f t="shared" si="15"/>
        <v>0</v>
      </c>
      <c r="H189" s="122"/>
      <c r="I189" s="122">
        <f t="shared" si="16"/>
        <v>0</v>
      </c>
      <c r="J189" s="122">
        <f t="shared" si="17"/>
        <v>0</v>
      </c>
    </row>
    <row r="190" spans="1:10" x14ac:dyDescent="0.25">
      <c r="A190" s="122"/>
      <c r="B190" s="98">
        <f t="shared" si="12"/>
        <v>176</v>
      </c>
      <c r="C190" s="122">
        <f t="shared" si="13"/>
        <v>0</v>
      </c>
      <c r="E190" s="122">
        <f t="shared" si="14"/>
        <v>0</v>
      </c>
      <c r="F190" s="122"/>
      <c r="G190" s="122">
        <f t="shared" si="15"/>
        <v>0</v>
      </c>
      <c r="H190" s="122"/>
      <c r="I190" s="122">
        <f t="shared" si="16"/>
        <v>0</v>
      </c>
      <c r="J190" s="122">
        <f t="shared" si="17"/>
        <v>0</v>
      </c>
    </row>
    <row r="191" spans="1:10" x14ac:dyDescent="0.25">
      <c r="A191" s="122"/>
      <c r="B191" s="98">
        <f t="shared" si="12"/>
        <v>177</v>
      </c>
      <c r="C191" s="122">
        <f t="shared" si="13"/>
        <v>0</v>
      </c>
      <c r="E191" s="122">
        <f t="shared" si="14"/>
        <v>0</v>
      </c>
      <c r="F191" s="122"/>
      <c r="G191" s="122">
        <f t="shared" si="15"/>
        <v>0</v>
      </c>
      <c r="H191" s="122"/>
      <c r="I191" s="122">
        <f t="shared" si="16"/>
        <v>0</v>
      </c>
      <c r="J191" s="122">
        <f t="shared" si="17"/>
        <v>0</v>
      </c>
    </row>
    <row r="192" spans="1:10" x14ac:dyDescent="0.25">
      <c r="A192" s="122"/>
      <c r="B192" s="98">
        <f t="shared" si="12"/>
        <v>178</v>
      </c>
      <c r="C192" s="122">
        <f t="shared" si="13"/>
        <v>0</v>
      </c>
      <c r="E192" s="122">
        <f t="shared" si="14"/>
        <v>0</v>
      </c>
      <c r="F192" s="122"/>
      <c r="G192" s="122">
        <f t="shared" si="15"/>
        <v>0</v>
      </c>
      <c r="H192" s="122"/>
      <c r="I192" s="122">
        <f t="shared" si="16"/>
        <v>0</v>
      </c>
      <c r="J192" s="122">
        <f t="shared" si="17"/>
        <v>0</v>
      </c>
    </row>
    <row r="193" spans="1:10" x14ac:dyDescent="0.25">
      <c r="A193" s="122"/>
      <c r="B193" s="98">
        <f t="shared" si="12"/>
        <v>179</v>
      </c>
      <c r="C193" s="122">
        <f t="shared" si="13"/>
        <v>0</v>
      </c>
      <c r="E193" s="122">
        <f t="shared" si="14"/>
        <v>0</v>
      </c>
      <c r="F193" s="122"/>
      <c r="G193" s="122">
        <f t="shared" si="15"/>
        <v>0</v>
      </c>
      <c r="H193" s="122"/>
      <c r="I193" s="122">
        <f t="shared" si="16"/>
        <v>0</v>
      </c>
      <c r="J193" s="122">
        <f t="shared" si="17"/>
        <v>0</v>
      </c>
    </row>
    <row r="194" spans="1:10" x14ac:dyDescent="0.25">
      <c r="A194" s="122"/>
      <c r="B194" s="98">
        <f t="shared" si="12"/>
        <v>180</v>
      </c>
      <c r="C194" s="122">
        <f t="shared" si="13"/>
        <v>0</v>
      </c>
      <c r="E194" s="122">
        <f t="shared" si="14"/>
        <v>0</v>
      </c>
      <c r="F194" s="122"/>
      <c r="G194" s="122">
        <f t="shared" si="15"/>
        <v>0</v>
      </c>
      <c r="H194" s="122"/>
      <c r="I194" s="122">
        <f t="shared" si="16"/>
        <v>0</v>
      </c>
      <c r="J194" s="122">
        <f t="shared" si="17"/>
        <v>0</v>
      </c>
    </row>
    <row r="195" spans="1:10" x14ac:dyDescent="0.25">
      <c r="A195" s="122"/>
      <c r="B195" s="98">
        <f t="shared" si="12"/>
        <v>181</v>
      </c>
      <c r="C195" s="122">
        <f t="shared" si="13"/>
        <v>0</v>
      </c>
      <c r="E195" s="122">
        <f t="shared" si="14"/>
        <v>0</v>
      </c>
      <c r="F195" s="122"/>
      <c r="G195" s="122">
        <f t="shared" si="15"/>
        <v>0</v>
      </c>
      <c r="H195" s="122"/>
      <c r="I195" s="122">
        <f t="shared" si="16"/>
        <v>0</v>
      </c>
      <c r="J195" s="122">
        <f t="shared" si="17"/>
        <v>0</v>
      </c>
    </row>
    <row r="196" spans="1:10" x14ac:dyDescent="0.25">
      <c r="A196" s="122"/>
      <c r="B196" s="98">
        <f t="shared" si="12"/>
        <v>182</v>
      </c>
      <c r="C196" s="122">
        <f t="shared" si="13"/>
        <v>0</v>
      </c>
      <c r="E196" s="122">
        <f t="shared" si="14"/>
        <v>0</v>
      </c>
      <c r="F196" s="122"/>
      <c r="G196" s="122">
        <f t="shared" si="15"/>
        <v>0</v>
      </c>
      <c r="H196" s="122"/>
      <c r="I196" s="122">
        <f t="shared" si="16"/>
        <v>0</v>
      </c>
      <c r="J196" s="122">
        <f t="shared" si="17"/>
        <v>0</v>
      </c>
    </row>
    <row r="197" spans="1:10" x14ac:dyDescent="0.25">
      <c r="A197" s="122"/>
      <c r="B197" s="98">
        <f t="shared" si="12"/>
        <v>183</v>
      </c>
      <c r="C197" s="122">
        <f t="shared" si="13"/>
        <v>0</v>
      </c>
      <c r="E197" s="122">
        <f t="shared" si="14"/>
        <v>0</v>
      </c>
      <c r="F197" s="122"/>
      <c r="G197" s="122">
        <f t="shared" si="15"/>
        <v>0</v>
      </c>
      <c r="H197" s="122"/>
      <c r="I197" s="122">
        <f t="shared" si="16"/>
        <v>0</v>
      </c>
      <c r="J197" s="122">
        <f t="shared" si="17"/>
        <v>0</v>
      </c>
    </row>
    <row r="198" spans="1:10" x14ac:dyDescent="0.25">
      <c r="A198" s="122"/>
      <c r="B198" s="98">
        <f t="shared" si="12"/>
        <v>184</v>
      </c>
      <c r="C198" s="122">
        <f t="shared" si="13"/>
        <v>0</v>
      </c>
      <c r="E198" s="122">
        <f t="shared" si="14"/>
        <v>0</v>
      </c>
      <c r="F198" s="122"/>
      <c r="G198" s="122">
        <f t="shared" si="15"/>
        <v>0</v>
      </c>
      <c r="H198" s="122"/>
      <c r="I198" s="122">
        <f t="shared" si="16"/>
        <v>0</v>
      </c>
      <c r="J198" s="122">
        <f t="shared" si="17"/>
        <v>0</v>
      </c>
    </row>
    <row r="199" spans="1:10" x14ac:dyDescent="0.25">
      <c r="A199" s="122"/>
      <c r="B199" s="98">
        <f t="shared" si="12"/>
        <v>185</v>
      </c>
      <c r="C199" s="122">
        <f t="shared" si="13"/>
        <v>0</v>
      </c>
      <c r="E199" s="122">
        <f t="shared" si="14"/>
        <v>0</v>
      </c>
      <c r="F199" s="122"/>
      <c r="G199" s="122">
        <f t="shared" si="15"/>
        <v>0</v>
      </c>
      <c r="H199" s="122"/>
      <c r="I199" s="122">
        <f t="shared" si="16"/>
        <v>0</v>
      </c>
      <c r="J199" s="122">
        <f t="shared" si="17"/>
        <v>0</v>
      </c>
    </row>
    <row r="200" spans="1:10" x14ac:dyDescent="0.25">
      <c r="A200" s="122"/>
      <c r="B200" s="98">
        <f t="shared" si="12"/>
        <v>186</v>
      </c>
      <c r="C200" s="122">
        <f t="shared" si="13"/>
        <v>0</v>
      </c>
      <c r="E200" s="122">
        <f t="shared" si="14"/>
        <v>0</v>
      </c>
      <c r="F200" s="122"/>
      <c r="G200" s="122">
        <f t="shared" si="15"/>
        <v>0</v>
      </c>
      <c r="H200" s="122"/>
      <c r="I200" s="122">
        <f t="shared" si="16"/>
        <v>0</v>
      </c>
      <c r="J200" s="122">
        <f t="shared" si="17"/>
        <v>0</v>
      </c>
    </row>
    <row r="201" spans="1:10" x14ac:dyDescent="0.25">
      <c r="A201" s="122"/>
      <c r="B201" s="98">
        <f t="shared" si="12"/>
        <v>187</v>
      </c>
      <c r="C201" s="122">
        <f t="shared" si="13"/>
        <v>0</v>
      </c>
      <c r="E201" s="122">
        <f t="shared" si="14"/>
        <v>0</v>
      </c>
      <c r="F201" s="122"/>
      <c r="G201" s="122">
        <f t="shared" si="15"/>
        <v>0</v>
      </c>
      <c r="H201" s="122"/>
      <c r="I201" s="122">
        <f t="shared" si="16"/>
        <v>0</v>
      </c>
      <c r="J201" s="122">
        <f t="shared" si="17"/>
        <v>0</v>
      </c>
    </row>
    <row r="202" spans="1:10" x14ac:dyDescent="0.25">
      <c r="A202" s="122"/>
      <c r="B202" s="98">
        <f t="shared" si="12"/>
        <v>188</v>
      </c>
      <c r="C202" s="122">
        <f t="shared" si="13"/>
        <v>0</v>
      </c>
      <c r="E202" s="122">
        <f t="shared" si="14"/>
        <v>0</v>
      </c>
      <c r="F202" s="122"/>
      <c r="G202" s="122">
        <f t="shared" si="15"/>
        <v>0</v>
      </c>
      <c r="H202" s="122"/>
      <c r="I202" s="122">
        <f t="shared" si="16"/>
        <v>0</v>
      </c>
      <c r="J202" s="122">
        <f t="shared" si="17"/>
        <v>0</v>
      </c>
    </row>
    <row r="203" spans="1:10" x14ac:dyDescent="0.25">
      <c r="A203" s="122"/>
      <c r="B203" s="98">
        <f t="shared" si="12"/>
        <v>189</v>
      </c>
      <c r="C203" s="122">
        <f t="shared" si="13"/>
        <v>0</v>
      </c>
      <c r="E203" s="122">
        <f t="shared" si="14"/>
        <v>0</v>
      </c>
      <c r="F203" s="122"/>
      <c r="G203" s="122">
        <f t="shared" si="15"/>
        <v>0</v>
      </c>
      <c r="H203" s="122"/>
      <c r="I203" s="122">
        <f t="shared" si="16"/>
        <v>0</v>
      </c>
      <c r="J203" s="122">
        <f t="shared" si="17"/>
        <v>0</v>
      </c>
    </row>
    <row r="204" spans="1:10" x14ac:dyDescent="0.25">
      <c r="A204" s="122"/>
      <c r="B204" s="98">
        <f t="shared" si="12"/>
        <v>190</v>
      </c>
      <c r="C204" s="122">
        <f t="shared" si="13"/>
        <v>0</v>
      </c>
      <c r="E204" s="122">
        <f t="shared" si="14"/>
        <v>0</v>
      </c>
      <c r="F204" s="122"/>
      <c r="G204" s="122">
        <f t="shared" si="15"/>
        <v>0</v>
      </c>
      <c r="H204" s="122"/>
      <c r="I204" s="122">
        <f t="shared" si="16"/>
        <v>0</v>
      </c>
      <c r="J204" s="122">
        <f t="shared" si="17"/>
        <v>0</v>
      </c>
    </row>
    <row r="205" spans="1:10" x14ac:dyDescent="0.25">
      <c r="A205" s="122"/>
      <c r="B205" s="98">
        <f t="shared" si="12"/>
        <v>191</v>
      </c>
      <c r="C205" s="122">
        <f t="shared" si="13"/>
        <v>0</v>
      </c>
      <c r="E205" s="122">
        <f t="shared" si="14"/>
        <v>0</v>
      </c>
      <c r="F205" s="122"/>
      <c r="G205" s="122">
        <f t="shared" si="15"/>
        <v>0</v>
      </c>
      <c r="H205" s="122"/>
      <c r="I205" s="122">
        <f t="shared" si="16"/>
        <v>0</v>
      </c>
      <c r="J205" s="122">
        <f t="shared" si="17"/>
        <v>0</v>
      </c>
    </row>
    <row r="206" spans="1:10" x14ac:dyDescent="0.25">
      <c r="A206" s="122"/>
      <c r="B206" s="98">
        <f t="shared" si="12"/>
        <v>192</v>
      </c>
      <c r="C206" s="122">
        <f t="shared" si="13"/>
        <v>0</v>
      </c>
      <c r="E206" s="122">
        <f t="shared" si="14"/>
        <v>0</v>
      </c>
      <c r="F206" s="122"/>
      <c r="G206" s="122">
        <f t="shared" si="15"/>
        <v>0</v>
      </c>
      <c r="H206" s="122"/>
      <c r="I206" s="122">
        <f t="shared" si="16"/>
        <v>0</v>
      </c>
      <c r="J206" s="122">
        <f t="shared" si="17"/>
        <v>0</v>
      </c>
    </row>
    <row r="207" spans="1:10" x14ac:dyDescent="0.25">
      <c r="A207" s="122"/>
      <c r="B207" s="98">
        <f t="shared" si="12"/>
        <v>193</v>
      </c>
      <c r="C207" s="122">
        <f t="shared" si="13"/>
        <v>0</v>
      </c>
      <c r="E207" s="122">
        <f t="shared" si="14"/>
        <v>0</v>
      </c>
      <c r="F207" s="122"/>
      <c r="G207" s="122">
        <f t="shared" si="15"/>
        <v>0</v>
      </c>
      <c r="H207" s="122"/>
      <c r="I207" s="122">
        <f t="shared" si="16"/>
        <v>0</v>
      </c>
      <c r="J207" s="122">
        <f t="shared" si="17"/>
        <v>0</v>
      </c>
    </row>
    <row r="208" spans="1:10" x14ac:dyDescent="0.25">
      <c r="A208" s="122"/>
      <c r="B208" s="98">
        <f t="shared" ref="B208:B271" si="18">B207+1</f>
        <v>194</v>
      </c>
      <c r="C208" s="122">
        <f t="shared" ref="C208:C271" si="19">IF(B208&gt;$G$8+$L$7,0,J207)</f>
        <v>0</v>
      </c>
      <c r="E208" s="122">
        <f t="shared" ref="E208:E271" si="20">IFERROR(-IF(AND($L$6&gt;0,B208&lt;=$L$7),-$E$10*$E$6,PMT($E$10,$G$8,$E$6))*IF(B208&gt;$G$8+$L$7,0,1),0)</f>
        <v>0</v>
      </c>
      <c r="F208" s="122"/>
      <c r="G208" s="122">
        <f t="shared" ref="G208:G271" si="21">IF(AND($L$6&gt;0,B208&lt;=$L$7),0,C208-J208)</f>
        <v>0</v>
      </c>
      <c r="H208" s="122"/>
      <c r="I208" s="122">
        <f t="shared" ref="I208:I271" si="22">E208-G208</f>
        <v>0</v>
      </c>
      <c r="J208" s="122">
        <f t="shared" ref="J208:J271" si="23">-FV($E$10,1,-E208,C208)</f>
        <v>0</v>
      </c>
    </row>
    <row r="209" spans="1:10" x14ac:dyDescent="0.25">
      <c r="A209" s="122"/>
      <c r="B209" s="98">
        <f t="shared" si="18"/>
        <v>195</v>
      </c>
      <c r="C209" s="122">
        <f t="shared" si="19"/>
        <v>0</v>
      </c>
      <c r="E209" s="122">
        <f t="shared" si="20"/>
        <v>0</v>
      </c>
      <c r="F209" s="122"/>
      <c r="G209" s="122">
        <f t="shared" si="21"/>
        <v>0</v>
      </c>
      <c r="H209" s="122"/>
      <c r="I209" s="122">
        <f t="shared" si="22"/>
        <v>0</v>
      </c>
      <c r="J209" s="122">
        <f t="shared" si="23"/>
        <v>0</v>
      </c>
    </row>
    <row r="210" spans="1:10" x14ac:dyDescent="0.25">
      <c r="A210" s="122"/>
      <c r="B210" s="98">
        <f t="shared" si="18"/>
        <v>196</v>
      </c>
      <c r="C210" s="122">
        <f t="shared" si="19"/>
        <v>0</v>
      </c>
      <c r="E210" s="122">
        <f t="shared" si="20"/>
        <v>0</v>
      </c>
      <c r="F210" s="122"/>
      <c r="G210" s="122">
        <f t="shared" si="21"/>
        <v>0</v>
      </c>
      <c r="H210" s="122"/>
      <c r="I210" s="122">
        <f t="shared" si="22"/>
        <v>0</v>
      </c>
      <c r="J210" s="122">
        <f t="shared" si="23"/>
        <v>0</v>
      </c>
    </row>
    <row r="211" spans="1:10" x14ac:dyDescent="0.25">
      <c r="A211" s="122"/>
      <c r="B211" s="98">
        <f t="shared" si="18"/>
        <v>197</v>
      </c>
      <c r="C211" s="122">
        <f t="shared" si="19"/>
        <v>0</v>
      </c>
      <c r="E211" s="122">
        <f t="shared" si="20"/>
        <v>0</v>
      </c>
      <c r="F211" s="122"/>
      <c r="G211" s="122">
        <f t="shared" si="21"/>
        <v>0</v>
      </c>
      <c r="H211" s="122"/>
      <c r="I211" s="122">
        <f t="shared" si="22"/>
        <v>0</v>
      </c>
      <c r="J211" s="122">
        <f t="shared" si="23"/>
        <v>0</v>
      </c>
    </row>
    <row r="212" spans="1:10" x14ac:dyDescent="0.25">
      <c r="A212" s="122"/>
      <c r="B212" s="98">
        <f t="shared" si="18"/>
        <v>198</v>
      </c>
      <c r="C212" s="122">
        <f t="shared" si="19"/>
        <v>0</v>
      </c>
      <c r="E212" s="122">
        <f t="shared" si="20"/>
        <v>0</v>
      </c>
      <c r="F212" s="122"/>
      <c r="G212" s="122">
        <f t="shared" si="21"/>
        <v>0</v>
      </c>
      <c r="H212" s="122"/>
      <c r="I212" s="122">
        <f t="shared" si="22"/>
        <v>0</v>
      </c>
      <c r="J212" s="122">
        <f t="shared" si="23"/>
        <v>0</v>
      </c>
    </row>
    <row r="213" spans="1:10" x14ac:dyDescent="0.25">
      <c r="A213" s="122"/>
      <c r="B213" s="98">
        <f t="shared" si="18"/>
        <v>199</v>
      </c>
      <c r="C213" s="122">
        <f t="shared" si="19"/>
        <v>0</v>
      </c>
      <c r="E213" s="122">
        <f t="shared" si="20"/>
        <v>0</v>
      </c>
      <c r="F213" s="122"/>
      <c r="G213" s="122">
        <f t="shared" si="21"/>
        <v>0</v>
      </c>
      <c r="H213" s="122"/>
      <c r="I213" s="122">
        <f t="shared" si="22"/>
        <v>0</v>
      </c>
      <c r="J213" s="122">
        <f t="shared" si="23"/>
        <v>0</v>
      </c>
    </row>
    <row r="214" spans="1:10" x14ac:dyDescent="0.25">
      <c r="A214" s="122"/>
      <c r="B214" s="98">
        <f t="shared" si="18"/>
        <v>200</v>
      </c>
      <c r="C214" s="122">
        <f t="shared" si="19"/>
        <v>0</v>
      </c>
      <c r="E214" s="122">
        <f t="shared" si="20"/>
        <v>0</v>
      </c>
      <c r="F214" s="122"/>
      <c r="G214" s="122">
        <f t="shared" si="21"/>
        <v>0</v>
      </c>
      <c r="H214" s="122"/>
      <c r="I214" s="122">
        <f t="shared" si="22"/>
        <v>0</v>
      </c>
      <c r="J214" s="122">
        <f t="shared" si="23"/>
        <v>0</v>
      </c>
    </row>
    <row r="215" spans="1:10" x14ac:dyDescent="0.25">
      <c r="A215" s="122"/>
      <c r="B215" s="98">
        <f t="shared" si="18"/>
        <v>201</v>
      </c>
      <c r="C215" s="122">
        <f t="shared" si="19"/>
        <v>0</v>
      </c>
      <c r="E215" s="122">
        <f t="shared" si="20"/>
        <v>0</v>
      </c>
      <c r="F215" s="122"/>
      <c r="G215" s="122">
        <f t="shared" si="21"/>
        <v>0</v>
      </c>
      <c r="H215" s="122"/>
      <c r="I215" s="122">
        <f t="shared" si="22"/>
        <v>0</v>
      </c>
      <c r="J215" s="122">
        <f t="shared" si="23"/>
        <v>0</v>
      </c>
    </row>
    <row r="216" spans="1:10" x14ac:dyDescent="0.25">
      <c r="A216" s="122"/>
      <c r="B216" s="98">
        <f t="shared" si="18"/>
        <v>202</v>
      </c>
      <c r="C216" s="122">
        <f t="shared" si="19"/>
        <v>0</v>
      </c>
      <c r="E216" s="122">
        <f t="shared" si="20"/>
        <v>0</v>
      </c>
      <c r="F216" s="122"/>
      <c r="G216" s="122">
        <f t="shared" si="21"/>
        <v>0</v>
      </c>
      <c r="H216" s="122"/>
      <c r="I216" s="122">
        <f t="shared" si="22"/>
        <v>0</v>
      </c>
      <c r="J216" s="122">
        <f t="shared" si="23"/>
        <v>0</v>
      </c>
    </row>
    <row r="217" spans="1:10" x14ac:dyDescent="0.25">
      <c r="A217" s="122"/>
      <c r="B217" s="98">
        <f t="shared" si="18"/>
        <v>203</v>
      </c>
      <c r="C217" s="122">
        <f t="shared" si="19"/>
        <v>0</v>
      </c>
      <c r="E217" s="122">
        <f t="shared" si="20"/>
        <v>0</v>
      </c>
      <c r="F217" s="122"/>
      <c r="G217" s="122">
        <f t="shared" si="21"/>
        <v>0</v>
      </c>
      <c r="H217" s="122"/>
      <c r="I217" s="122">
        <f t="shared" si="22"/>
        <v>0</v>
      </c>
      <c r="J217" s="122">
        <f t="shared" si="23"/>
        <v>0</v>
      </c>
    </row>
    <row r="218" spans="1:10" x14ac:dyDescent="0.25">
      <c r="A218" s="122"/>
      <c r="B218" s="98">
        <f t="shared" si="18"/>
        <v>204</v>
      </c>
      <c r="C218" s="122">
        <f t="shared" si="19"/>
        <v>0</v>
      </c>
      <c r="E218" s="122">
        <f t="shared" si="20"/>
        <v>0</v>
      </c>
      <c r="F218" s="122"/>
      <c r="G218" s="122">
        <f t="shared" si="21"/>
        <v>0</v>
      </c>
      <c r="H218" s="122"/>
      <c r="I218" s="122">
        <f t="shared" si="22"/>
        <v>0</v>
      </c>
      <c r="J218" s="122">
        <f t="shared" si="23"/>
        <v>0</v>
      </c>
    </row>
    <row r="219" spans="1:10" x14ac:dyDescent="0.25">
      <c r="A219" s="122"/>
      <c r="B219" s="98">
        <f t="shared" si="18"/>
        <v>205</v>
      </c>
      <c r="C219" s="122">
        <f t="shared" si="19"/>
        <v>0</v>
      </c>
      <c r="E219" s="122">
        <f t="shared" si="20"/>
        <v>0</v>
      </c>
      <c r="F219" s="122"/>
      <c r="G219" s="122">
        <f t="shared" si="21"/>
        <v>0</v>
      </c>
      <c r="H219" s="122"/>
      <c r="I219" s="122">
        <f t="shared" si="22"/>
        <v>0</v>
      </c>
      <c r="J219" s="122">
        <f t="shared" si="23"/>
        <v>0</v>
      </c>
    </row>
    <row r="220" spans="1:10" x14ac:dyDescent="0.25">
      <c r="A220" s="122"/>
      <c r="B220" s="98">
        <f t="shared" si="18"/>
        <v>206</v>
      </c>
      <c r="C220" s="122">
        <f t="shared" si="19"/>
        <v>0</v>
      </c>
      <c r="E220" s="122">
        <f t="shared" si="20"/>
        <v>0</v>
      </c>
      <c r="F220" s="122"/>
      <c r="G220" s="122">
        <f t="shared" si="21"/>
        <v>0</v>
      </c>
      <c r="H220" s="122"/>
      <c r="I220" s="122">
        <f t="shared" si="22"/>
        <v>0</v>
      </c>
      <c r="J220" s="122">
        <f t="shared" si="23"/>
        <v>0</v>
      </c>
    </row>
    <row r="221" spans="1:10" x14ac:dyDescent="0.25">
      <c r="A221" s="122"/>
      <c r="B221" s="98">
        <f t="shared" si="18"/>
        <v>207</v>
      </c>
      <c r="C221" s="122">
        <f t="shared" si="19"/>
        <v>0</v>
      </c>
      <c r="E221" s="122">
        <f t="shared" si="20"/>
        <v>0</v>
      </c>
      <c r="F221" s="122"/>
      <c r="G221" s="122">
        <f t="shared" si="21"/>
        <v>0</v>
      </c>
      <c r="H221" s="122"/>
      <c r="I221" s="122">
        <f t="shared" si="22"/>
        <v>0</v>
      </c>
      <c r="J221" s="122">
        <f t="shared" si="23"/>
        <v>0</v>
      </c>
    </row>
    <row r="222" spans="1:10" x14ac:dyDescent="0.25">
      <c r="A222" s="122"/>
      <c r="B222" s="98">
        <f t="shared" si="18"/>
        <v>208</v>
      </c>
      <c r="C222" s="122">
        <f t="shared" si="19"/>
        <v>0</v>
      </c>
      <c r="E222" s="122">
        <f t="shared" si="20"/>
        <v>0</v>
      </c>
      <c r="F222" s="122"/>
      <c r="G222" s="122">
        <f t="shared" si="21"/>
        <v>0</v>
      </c>
      <c r="H222" s="122"/>
      <c r="I222" s="122">
        <f t="shared" si="22"/>
        <v>0</v>
      </c>
      <c r="J222" s="122">
        <f t="shared" si="23"/>
        <v>0</v>
      </c>
    </row>
    <row r="223" spans="1:10" x14ac:dyDescent="0.25">
      <c r="A223" s="122"/>
      <c r="B223" s="98">
        <f t="shared" si="18"/>
        <v>209</v>
      </c>
      <c r="C223" s="122">
        <f t="shared" si="19"/>
        <v>0</v>
      </c>
      <c r="E223" s="122">
        <f t="shared" si="20"/>
        <v>0</v>
      </c>
      <c r="F223" s="122"/>
      <c r="G223" s="122">
        <f t="shared" si="21"/>
        <v>0</v>
      </c>
      <c r="H223" s="122"/>
      <c r="I223" s="122">
        <f t="shared" si="22"/>
        <v>0</v>
      </c>
      <c r="J223" s="122">
        <f t="shared" si="23"/>
        <v>0</v>
      </c>
    </row>
    <row r="224" spans="1:10" x14ac:dyDescent="0.25">
      <c r="A224" s="122"/>
      <c r="B224" s="98">
        <f t="shared" si="18"/>
        <v>210</v>
      </c>
      <c r="C224" s="122">
        <f t="shared" si="19"/>
        <v>0</v>
      </c>
      <c r="E224" s="122">
        <f t="shared" si="20"/>
        <v>0</v>
      </c>
      <c r="F224" s="122"/>
      <c r="G224" s="122">
        <f t="shared" si="21"/>
        <v>0</v>
      </c>
      <c r="H224" s="122"/>
      <c r="I224" s="122">
        <f t="shared" si="22"/>
        <v>0</v>
      </c>
      <c r="J224" s="122">
        <f t="shared" si="23"/>
        <v>0</v>
      </c>
    </row>
    <row r="225" spans="1:10" x14ac:dyDescent="0.25">
      <c r="A225" s="122"/>
      <c r="B225" s="98">
        <f t="shared" si="18"/>
        <v>211</v>
      </c>
      <c r="C225" s="122">
        <f t="shared" si="19"/>
        <v>0</v>
      </c>
      <c r="E225" s="122">
        <f t="shared" si="20"/>
        <v>0</v>
      </c>
      <c r="F225" s="122"/>
      <c r="G225" s="122">
        <f t="shared" si="21"/>
        <v>0</v>
      </c>
      <c r="H225" s="122"/>
      <c r="I225" s="122">
        <f t="shared" si="22"/>
        <v>0</v>
      </c>
      <c r="J225" s="122">
        <f t="shared" si="23"/>
        <v>0</v>
      </c>
    </row>
    <row r="226" spans="1:10" x14ac:dyDescent="0.25">
      <c r="A226" s="122"/>
      <c r="B226" s="98">
        <f t="shared" si="18"/>
        <v>212</v>
      </c>
      <c r="C226" s="122">
        <f t="shared" si="19"/>
        <v>0</v>
      </c>
      <c r="E226" s="122">
        <f t="shared" si="20"/>
        <v>0</v>
      </c>
      <c r="F226" s="122"/>
      <c r="G226" s="122">
        <f t="shared" si="21"/>
        <v>0</v>
      </c>
      <c r="H226" s="122"/>
      <c r="I226" s="122">
        <f t="shared" si="22"/>
        <v>0</v>
      </c>
      <c r="J226" s="122">
        <f t="shared" si="23"/>
        <v>0</v>
      </c>
    </row>
    <row r="227" spans="1:10" x14ac:dyDescent="0.25">
      <c r="A227" s="122"/>
      <c r="B227" s="98">
        <f t="shared" si="18"/>
        <v>213</v>
      </c>
      <c r="C227" s="122">
        <f t="shared" si="19"/>
        <v>0</v>
      </c>
      <c r="E227" s="122">
        <f t="shared" si="20"/>
        <v>0</v>
      </c>
      <c r="F227" s="122"/>
      <c r="G227" s="122">
        <f t="shared" si="21"/>
        <v>0</v>
      </c>
      <c r="H227" s="122"/>
      <c r="I227" s="122">
        <f t="shared" si="22"/>
        <v>0</v>
      </c>
      <c r="J227" s="122">
        <f t="shared" si="23"/>
        <v>0</v>
      </c>
    </row>
    <row r="228" spans="1:10" x14ac:dyDescent="0.25">
      <c r="A228" s="122"/>
      <c r="B228" s="98">
        <f t="shared" si="18"/>
        <v>214</v>
      </c>
      <c r="C228" s="122">
        <f t="shared" si="19"/>
        <v>0</v>
      </c>
      <c r="E228" s="122">
        <f t="shared" si="20"/>
        <v>0</v>
      </c>
      <c r="F228" s="122"/>
      <c r="G228" s="122">
        <f t="shared" si="21"/>
        <v>0</v>
      </c>
      <c r="H228" s="122"/>
      <c r="I228" s="122">
        <f t="shared" si="22"/>
        <v>0</v>
      </c>
      <c r="J228" s="122">
        <f t="shared" si="23"/>
        <v>0</v>
      </c>
    </row>
    <row r="229" spans="1:10" x14ac:dyDescent="0.25">
      <c r="A229" s="122"/>
      <c r="B229" s="98">
        <f t="shared" si="18"/>
        <v>215</v>
      </c>
      <c r="C229" s="122">
        <f t="shared" si="19"/>
        <v>0</v>
      </c>
      <c r="E229" s="122">
        <f t="shared" si="20"/>
        <v>0</v>
      </c>
      <c r="F229" s="122"/>
      <c r="G229" s="122">
        <f t="shared" si="21"/>
        <v>0</v>
      </c>
      <c r="H229" s="122"/>
      <c r="I229" s="122">
        <f t="shared" si="22"/>
        <v>0</v>
      </c>
      <c r="J229" s="122">
        <f t="shared" si="23"/>
        <v>0</v>
      </c>
    </row>
    <row r="230" spans="1:10" x14ac:dyDescent="0.25">
      <c r="A230" s="122"/>
      <c r="B230" s="98">
        <f t="shared" si="18"/>
        <v>216</v>
      </c>
      <c r="C230" s="122">
        <f t="shared" si="19"/>
        <v>0</v>
      </c>
      <c r="E230" s="122">
        <f t="shared" si="20"/>
        <v>0</v>
      </c>
      <c r="F230" s="122"/>
      <c r="G230" s="122">
        <f t="shared" si="21"/>
        <v>0</v>
      </c>
      <c r="H230" s="122"/>
      <c r="I230" s="122">
        <f t="shared" si="22"/>
        <v>0</v>
      </c>
      <c r="J230" s="122">
        <f t="shared" si="23"/>
        <v>0</v>
      </c>
    </row>
    <row r="231" spans="1:10" x14ac:dyDescent="0.25">
      <c r="A231" s="122"/>
      <c r="B231" s="98">
        <f t="shared" si="18"/>
        <v>217</v>
      </c>
      <c r="C231" s="122">
        <f t="shared" si="19"/>
        <v>0</v>
      </c>
      <c r="E231" s="122">
        <f t="shared" si="20"/>
        <v>0</v>
      </c>
      <c r="F231" s="122"/>
      <c r="G231" s="122">
        <f t="shared" si="21"/>
        <v>0</v>
      </c>
      <c r="H231" s="122"/>
      <c r="I231" s="122">
        <f t="shared" si="22"/>
        <v>0</v>
      </c>
      <c r="J231" s="122">
        <f t="shared" si="23"/>
        <v>0</v>
      </c>
    </row>
    <row r="232" spans="1:10" x14ac:dyDescent="0.25">
      <c r="A232" s="122"/>
      <c r="B232" s="98">
        <f t="shared" si="18"/>
        <v>218</v>
      </c>
      <c r="C232" s="122">
        <f t="shared" si="19"/>
        <v>0</v>
      </c>
      <c r="E232" s="122">
        <f t="shared" si="20"/>
        <v>0</v>
      </c>
      <c r="F232" s="122"/>
      <c r="G232" s="122">
        <f t="shared" si="21"/>
        <v>0</v>
      </c>
      <c r="H232" s="122"/>
      <c r="I232" s="122">
        <f t="shared" si="22"/>
        <v>0</v>
      </c>
      <c r="J232" s="122">
        <f t="shared" si="23"/>
        <v>0</v>
      </c>
    </row>
    <row r="233" spans="1:10" x14ac:dyDescent="0.25">
      <c r="A233" s="122"/>
      <c r="B233" s="98">
        <f t="shared" si="18"/>
        <v>219</v>
      </c>
      <c r="C233" s="122">
        <f t="shared" si="19"/>
        <v>0</v>
      </c>
      <c r="E233" s="122">
        <f t="shared" si="20"/>
        <v>0</v>
      </c>
      <c r="F233" s="122"/>
      <c r="G233" s="122">
        <f t="shared" si="21"/>
        <v>0</v>
      </c>
      <c r="H233" s="122"/>
      <c r="I233" s="122">
        <f t="shared" si="22"/>
        <v>0</v>
      </c>
      <c r="J233" s="122">
        <f t="shared" si="23"/>
        <v>0</v>
      </c>
    </row>
    <row r="234" spans="1:10" x14ac:dyDescent="0.25">
      <c r="A234" s="122"/>
      <c r="B234" s="98">
        <f t="shared" si="18"/>
        <v>220</v>
      </c>
      <c r="C234" s="122">
        <f t="shared" si="19"/>
        <v>0</v>
      </c>
      <c r="E234" s="122">
        <f t="shared" si="20"/>
        <v>0</v>
      </c>
      <c r="F234" s="122"/>
      <c r="G234" s="122">
        <f t="shared" si="21"/>
        <v>0</v>
      </c>
      <c r="H234" s="122"/>
      <c r="I234" s="122">
        <f t="shared" si="22"/>
        <v>0</v>
      </c>
      <c r="J234" s="122">
        <f t="shared" si="23"/>
        <v>0</v>
      </c>
    </row>
    <row r="235" spans="1:10" x14ac:dyDescent="0.25">
      <c r="A235" s="122"/>
      <c r="B235" s="98">
        <f t="shared" si="18"/>
        <v>221</v>
      </c>
      <c r="C235" s="122">
        <f t="shared" si="19"/>
        <v>0</v>
      </c>
      <c r="E235" s="122">
        <f t="shared" si="20"/>
        <v>0</v>
      </c>
      <c r="F235" s="122"/>
      <c r="G235" s="122">
        <f t="shared" si="21"/>
        <v>0</v>
      </c>
      <c r="H235" s="122"/>
      <c r="I235" s="122">
        <f t="shared" si="22"/>
        <v>0</v>
      </c>
      <c r="J235" s="122">
        <f t="shared" si="23"/>
        <v>0</v>
      </c>
    </row>
    <row r="236" spans="1:10" x14ac:dyDescent="0.25">
      <c r="A236" s="122"/>
      <c r="B236" s="98">
        <f t="shared" si="18"/>
        <v>222</v>
      </c>
      <c r="C236" s="122">
        <f t="shared" si="19"/>
        <v>0</v>
      </c>
      <c r="E236" s="122">
        <f t="shared" si="20"/>
        <v>0</v>
      </c>
      <c r="F236" s="122"/>
      <c r="G236" s="122">
        <f t="shared" si="21"/>
        <v>0</v>
      </c>
      <c r="H236" s="122"/>
      <c r="I236" s="122">
        <f t="shared" si="22"/>
        <v>0</v>
      </c>
      <c r="J236" s="122">
        <f t="shared" si="23"/>
        <v>0</v>
      </c>
    </row>
    <row r="237" spans="1:10" x14ac:dyDescent="0.25">
      <c r="A237" s="122"/>
      <c r="B237" s="98">
        <f t="shared" si="18"/>
        <v>223</v>
      </c>
      <c r="C237" s="122">
        <f t="shared" si="19"/>
        <v>0</v>
      </c>
      <c r="E237" s="122">
        <f t="shared" si="20"/>
        <v>0</v>
      </c>
      <c r="F237" s="122"/>
      <c r="G237" s="122">
        <f t="shared" si="21"/>
        <v>0</v>
      </c>
      <c r="H237" s="122"/>
      <c r="I237" s="122">
        <f t="shared" si="22"/>
        <v>0</v>
      </c>
      <c r="J237" s="122">
        <f t="shared" si="23"/>
        <v>0</v>
      </c>
    </row>
    <row r="238" spans="1:10" x14ac:dyDescent="0.25">
      <c r="A238" s="122"/>
      <c r="B238" s="98">
        <f t="shared" si="18"/>
        <v>224</v>
      </c>
      <c r="C238" s="122">
        <f t="shared" si="19"/>
        <v>0</v>
      </c>
      <c r="E238" s="122">
        <f t="shared" si="20"/>
        <v>0</v>
      </c>
      <c r="F238" s="122"/>
      <c r="G238" s="122">
        <f t="shared" si="21"/>
        <v>0</v>
      </c>
      <c r="H238" s="122"/>
      <c r="I238" s="122">
        <f t="shared" si="22"/>
        <v>0</v>
      </c>
      <c r="J238" s="122">
        <f t="shared" si="23"/>
        <v>0</v>
      </c>
    </row>
    <row r="239" spans="1:10" x14ac:dyDescent="0.25">
      <c r="A239" s="122"/>
      <c r="B239" s="98">
        <f t="shared" si="18"/>
        <v>225</v>
      </c>
      <c r="C239" s="122">
        <f t="shared" si="19"/>
        <v>0</v>
      </c>
      <c r="E239" s="122">
        <f t="shared" si="20"/>
        <v>0</v>
      </c>
      <c r="F239" s="122"/>
      <c r="G239" s="122">
        <f t="shared" si="21"/>
        <v>0</v>
      </c>
      <c r="H239" s="122"/>
      <c r="I239" s="122">
        <f t="shared" si="22"/>
        <v>0</v>
      </c>
      <c r="J239" s="122">
        <f t="shared" si="23"/>
        <v>0</v>
      </c>
    </row>
    <row r="240" spans="1:10" x14ac:dyDescent="0.25">
      <c r="A240" s="122"/>
      <c r="B240" s="98">
        <f t="shared" si="18"/>
        <v>226</v>
      </c>
      <c r="C240" s="122">
        <f t="shared" si="19"/>
        <v>0</v>
      </c>
      <c r="E240" s="122">
        <f t="shared" si="20"/>
        <v>0</v>
      </c>
      <c r="F240" s="122"/>
      <c r="G240" s="122">
        <f t="shared" si="21"/>
        <v>0</v>
      </c>
      <c r="H240" s="122"/>
      <c r="I240" s="122">
        <f t="shared" si="22"/>
        <v>0</v>
      </c>
      <c r="J240" s="122">
        <f t="shared" si="23"/>
        <v>0</v>
      </c>
    </row>
    <row r="241" spans="1:10" x14ac:dyDescent="0.25">
      <c r="A241" s="122"/>
      <c r="B241" s="98">
        <f t="shared" si="18"/>
        <v>227</v>
      </c>
      <c r="C241" s="122">
        <f t="shared" si="19"/>
        <v>0</v>
      </c>
      <c r="E241" s="122">
        <f t="shared" si="20"/>
        <v>0</v>
      </c>
      <c r="F241" s="122"/>
      <c r="G241" s="122">
        <f t="shared" si="21"/>
        <v>0</v>
      </c>
      <c r="H241" s="122"/>
      <c r="I241" s="122">
        <f t="shared" si="22"/>
        <v>0</v>
      </c>
      <c r="J241" s="122">
        <f t="shared" si="23"/>
        <v>0</v>
      </c>
    </row>
    <row r="242" spans="1:10" x14ac:dyDescent="0.25">
      <c r="A242" s="122"/>
      <c r="B242" s="98">
        <f t="shared" si="18"/>
        <v>228</v>
      </c>
      <c r="C242" s="122">
        <f t="shared" si="19"/>
        <v>0</v>
      </c>
      <c r="E242" s="122">
        <f t="shared" si="20"/>
        <v>0</v>
      </c>
      <c r="F242" s="122"/>
      <c r="G242" s="122">
        <f t="shared" si="21"/>
        <v>0</v>
      </c>
      <c r="H242" s="122"/>
      <c r="I242" s="122">
        <f t="shared" si="22"/>
        <v>0</v>
      </c>
      <c r="J242" s="122">
        <f t="shared" si="23"/>
        <v>0</v>
      </c>
    </row>
    <row r="243" spans="1:10" x14ac:dyDescent="0.25">
      <c r="A243" s="122"/>
      <c r="B243" s="98">
        <f t="shared" si="18"/>
        <v>229</v>
      </c>
      <c r="C243" s="122">
        <f t="shared" si="19"/>
        <v>0</v>
      </c>
      <c r="E243" s="122">
        <f t="shared" si="20"/>
        <v>0</v>
      </c>
      <c r="F243" s="122"/>
      <c r="G243" s="122">
        <f t="shared" si="21"/>
        <v>0</v>
      </c>
      <c r="H243" s="122"/>
      <c r="I243" s="122">
        <f t="shared" si="22"/>
        <v>0</v>
      </c>
      <c r="J243" s="122">
        <f t="shared" si="23"/>
        <v>0</v>
      </c>
    </row>
    <row r="244" spans="1:10" x14ac:dyDescent="0.25">
      <c r="A244" s="122"/>
      <c r="B244" s="98">
        <f t="shared" si="18"/>
        <v>230</v>
      </c>
      <c r="C244" s="122">
        <f t="shared" si="19"/>
        <v>0</v>
      </c>
      <c r="E244" s="122">
        <f t="shared" si="20"/>
        <v>0</v>
      </c>
      <c r="F244" s="122"/>
      <c r="G244" s="122">
        <f t="shared" si="21"/>
        <v>0</v>
      </c>
      <c r="H244" s="122"/>
      <c r="I244" s="122">
        <f t="shared" si="22"/>
        <v>0</v>
      </c>
      <c r="J244" s="122">
        <f t="shared" si="23"/>
        <v>0</v>
      </c>
    </row>
    <row r="245" spans="1:10" x14ac:dyDescent="0.25">
      <c r="A245" s="122"/>
      <c r="B245" s="98">
        <f t="shared" si="18"/>
        <v>231</v>
      </c>
      <c r="C245" s="122">
        <f t="shared" si="19"/>
        <v>0</v>
      </c>
      <c r="E245" s="122">
        <f t="shared" si="20"/>
        <v>0</v>
      </c>
      <c r="F245" s="122"/>
      <c r="G245" s="122">
        <f t="shared" si="21"/>
        <v>0</v>
      </c>
      <c r="H245" s="122"/>
      <c r="I245" s="122">
        <f t="shared" si="22"/>
        <v>0</v>
      </c>
      <c r="J245" s="122">
        <f t="shared" si="23"/>
        <v>0</v>
      </c>
    </row>
    <row r="246" spans="1:10" x14ac:dyDescent="0.25">
      <c r="A246" s="122"/>
      <c r="B246" s="98">
        <f t="shared" si="18"/>
        <v>232</v>
      </c>
      <c r="C246" s="122">
        <f t="shared" si="19"/>
        <v>0</v>
      </c>
      <c r="E246" s="122">
        <f t="shared" si="20"/>
        <v>0</v>
      </c>
      <c r="F246" s="122"/>
      <c r="G246" s="122">
        <f t="shared" si="21"/>
        <v>0</v>
      </c>
      <c r="H246" s="122"/>
      <c r="I246" s="122">
        <f t="shared" si="22"/>
        <v>0</v>
      </c>
      <c r="J246" s="122">
        <f t="shared" si="23"/>
        <v>0</v>
      </c>
    </row>
    <row r="247" spans="1:10" x14ac:dyDescent="0.25">
      <c r="A247" s="122"/>
      <c r="B247" s="98">
        <f t="shared" si="18"/>
        <v>233</v>
      </c>
      <c r="C247" s="122">
        <f t="shared" si="19"/>
        <v>0</v>
      </c>
      <c r="E247" s="122">
        <f t="shared" si="20"/>
        <v>0</v>
      </c>
      <c r="F247" s="122"/>
      <c r="G247" s="122">
        <f t="shared" si="21"/>
        <v>0</v>
      </c>
      <c r="H247" s="122"/>
      <c r="I247" s="122">
        <f t="shared" si="22"/>
        <v>0</v>
      </c>
      <c r="J247" s="122">
        <f t="shared" si="23"/>
        <v>0</v>
      </c>
    </row>
    <row r="248" spans="1:10" x14ac:dyDescent="0.25">
      <c r="A248" s="122"/>
      <c r="B248" s="98">
        <f t="shared" si="18"/>
        <v>234</v>
      </c>
      <c r="C248" s="122">
        <f t="shared" si="19"/>
        <v>0</v>
      </c>
      <c r="E248" s="122">
        <f t="shared" si="20"/>
        <v>0</v>
      </c>
      <c r="F248" s="122"/>
      <c r="G248" s="122">
        <f t="shared" si="21"/>
        <v>0</v>
      </c>
      <c r="H248" s="122"/>
      <c r="I248" s="122">
        <f t="shared" si="22"/>
        <v>0</v>
      </c>
      <c r="J248" s="122">
        <f t="shared" si="23"/>
        <v>0</v>
      </c>
    </row>
    <row r="249" spans="1:10" x14ac:dyDescent="0.25">
      <c r="A249" s="122"/>
      <c r="B249" s="98">
        <f t="shared" si="18"/>
        <v>235</v>
      </c>
      <c r="C249" s="122">
        <f t="shared" si="19"/>
        <v>0</v>
      </c>
      <c r="E249" s="122">
        <f t="shared" si="20"/>
        <v>0</v>
      </c>
      <c r="F249" s="122"/>
      <c r="G249" s="122">
        <f t="shared" si="21"/>
        <v>0</v>
      </c>
      <c r="H249" s="122"/>
      <c r="I249" s="122">
        <f t="shared" si="22"/>
        <v>0</v>
      </c>
      <c r="J249" s="122">
        <f t="shared" si="23"/>
        <v>0</v>
      </c>
    </row>
    <row r="250" spans="1:10" x14ac:dyDescent="0.25">
      <c r="A250" s="122"/>
      <c r="B250" s="98">
        <f t="shared" si="18"/>
        <v>236</v>
      </c>
      <c r="C250" s="122">
        <f t="shared" si="19"/>
        <v>0</v>
      </c>
      <c r="E250" s="122">
        <f t="shared" si="20"/>
        <v>0</v>
      </c>
      <c r="F250" s="122"/>
      <c r="G250" s="122">
        <f t="shared" si="21"/>
        <v>0</v>
      </c>
      <c r="H250" s="122"/>
      <c r="I250" s="122">
        <f t="shared" si="22"/>
        <v>0</v>
      </c>
      <c r="J250" s="122">
        <f t="shared" si="23"/>
        <v>0</v>
      </c>
    </row>
    <row r="251" spans="1:10" x14ac:dyDescent="0.25">
      <c r="A251" s="122"/>
      <c r="B251" s="98">
        <f t="shared" si="18"/>
        <v>237</v>
      </c>
      <c r="C251" s="122">
        <f t="shared" si="19"/>
        <v>0</v>
      </c>
      <c r="E251" s="122">
        <f t="shared" si="20"/>
        <v>0</v>
      </c>
      <c r="F251" s="122"/>
      <c r="G251" s="122">
        <f t="shared" si="21"/>
        <v>0</v>
      </c>
      <c r="H251" s="122"/>
      <c r="I251" s="122">
        <f t="shared" si="22"/>
        <v>0</v>
      </c>
      <c r="J251" s="122">
        <f t="shared" si="23"/>
        <v>0</v>
      </c>
    </row>
    <row r="252" spans="1:10" x14ac:dyDescent="0.25">
      <c r="A252" s="122"/>
      <c r="B252" s="98">
        <f t="shared" si="18"/>
        <v>238</v>
      </c>
      <c r="C252" s="122">
        <f t="shared" si="19"/>
        <v>0</v>
      </c>
      <c r="E252" s="122">
        <f t="shared" si="20"/>
        <v>0</v>
      </c>
      <c r="F252" s="122"/>
      <c r="G252" s="122">
        <f t="shared" si="21"/>
        <v>0</v>
      </c>
      <c r="H252" s="122"/>
      <c r="I252" s="122">
        <f t="shared" si="22"/>
        <v>0</v>
      </c>
      <c r="J252" s="122">
        <f t="shared" si="23"/>
        <v>0</v>
      </c>
    </row>
    <row r="253" spans="1:10" x14ac:dyDescent="0.25">
      <c r="A253" s="122"/>
      <c r="B253" s="98">
        <f t="shared" si="18"/>
        <v>239</v>
      </c>
      <c r="C253" s="122">
        <f t="shared" si="19"/>
        <v>0</v>
      </c>
      <c r="E253" s="122">
        <f t="shared" si="20"/>
        <v>0</v>
      </c>
      <c r="F253" s="122"/>
      <c r="G253" s="122">
        <f t="shared" si="21"/>
        <v>0</v>
      </c>
      <c r="H253" s="122"/>
      <c r="I253" s="122">
        <f t="shared" si="22"/>
        <v>0</v>
      </c>
      <c r="J253" s="122">
        <f t="shared" si="23"/>
        <v>0</v>
      </c>
    </row>
    <row r="254" spans="1:10" x14ac:dyDescent="0.25">
      <c r="A254" s="122"/>
      <c r="B254" s="98">
        <f t="shared" si="18"/>
        <v>240</v>
      </c>
      <c r="C254" s="122">
        <f t="shared" si="19"/>
        <v>0</v>
      </c>
      <c r="E254" s="122">
        <f t="shared" si="20"/>
        <v>0</v>
      </c>
      <c r="F254" s="122"/>
      <c r="G254" s="122">
        <f t="shared" si="21"/>
        <v>0</v>
      </c>
      <c r="H254" s="122"/>
      <c r="I254" s="122">
        <f t="shared" si="22"/>
        <v>0</v>
      </c>
      <c r="J254" s="122">
        <f t="shared" si="23"/>
        <v>0</v>
      </c>
    </row>
    <row r="255" spans="1:10" x14ac:dyDescent="0.25">
      <c r="A255" s="122"/>
      <c r="B255" s="98">
        <f t="shared" si="18"/>
        <v>241</v>
      </c>
      <c r="C255" s="122">
        <f t="shared" si="19"/>
        <v>0</v>
      </c>
      <c r="E255" s="122">
        <f t="shared" si="20"/>
        <v>0</v>
      </c>
      <c r="F255" s="122"/>
      <c r="G255" s="122">
        <f t="shared" si="21"/>
        <v>0</v>
      </c>
      <c r="H255" s="122"/>
      <c r="I255" s="122">
        <f t="shared" si="22"/>
        <v>0</v>
      </c>
      <c r="J255" s="122">
        <f t="shared" si="23"/>
        <v>0</v>
      </c>
    </row>
    <row r="256" spans="1:10" x14ac:dyDescent="0.25">
      <c r="A256" s="122"/>
      <c r="B256" s="98">
        <f t="shared" si="18"/>
        <v>242</v>
      </c>
      <c r="C256" s="122">
        <f t="shared" si="19"/>
        <v>0</v>
      </c>
      <c r="E256" s="122">
        <f t="shared" si="20"/>
        <v>0</v>
      </c>
      <c r="F256" s="122"/>
      <c r="G256" s="122">
        <f t="shared" si="21"/>
        <v>0</v>
      </c>
      <c r="H256" s="122"/>
      <c r="I256" s="122">
        <f t="shared" si="22"/>
        <v>0</v>
      </c>
      <c r="J256" s="122">
        <f t="shared" si="23"/>
        <v>0</v>
      </c>
    </row>
    <row r="257" spans="1:10" x14ac:dyDescent="0.25">
      <c r="A257" s="122"/>
      <c r="B257" s="98">
        <f t="shared" si="18"/>
        <v>243</v>
      </c>
      <c r="C257" s="122">
        <f t="shared" si="19"/>
        <v>0</v>
      </c>
      <c r="E257" s="122">
        <f t="shared" si="20"/>
        <v>0</v>
      </c>
      <c r="F257" s="122"/>
      <c r="G257" s="122">
        <f t="shared" si="21"/>
        <v>0</v>
      </c>
      <c r="H257" s="122"/>
      <c r="I257" s="122">
        <f t="shared" si="22"/>
        <v>0</v>
      </c>
      <c r="J257" s="122">
        <f t="shared" si="23"/>
        <v>0</v>
      </c>
    </row>
    <row r="258" spans="1:10" x14ac:dyDescent="0.25">
      <c r="A258" s="122"/>
      <c r="B258" s="98">
        <f t="shared" si="18"/>
        <v>244</v>
      </c>
      <c r="C258" s="122">
        <f t="shared" si="19"/>
        <v>0</v>
      </c>
      <c r="E258" s="122">
        <f t="shared" si="20"/>
        <v>0</v>
      </c>
      <c r="F258" s="122"/>
      <c r="G258" s="122">
        <f t="shared" si="21"/>
        <v>0</v>
      </c>
      <c r="H258" s="122"/>
      <c r="I258" s="122">
        <f t="shared" si="22"/>
        <v>0</v>
      </c>
      <c r="J258" s="122">
        <f t="shared" si="23"/>
        <v>0</v>
      </c>
    </row>
    <row r="259" spans="1:10" x14ac:dyDescent="0.25">
      <c r="A259" s="122"/>
      <c r="B259" s="98">
        <f t="shared" si="18"/>
        <v>245</v>
      </c>
      <c r="C259" s="122">
        <f t="shared" si="19"/>
        <v>0</v>
      </c>
      <c r="E259" s="122">
        <f t="shared" si="20"/>
        <v>0</v>
      </c>
      <c r="F259" s="122"/>
      <c r="G259" s="122">
        <f t="shared" si="21"/>
        <v>0</v>
      </c>
      <c r="H259" s="122"/>
      <c r="I259" s="122">
        <f t="shared" si="22"/>
        <v>0</v>
      </c>
      <c r="J259" s="122">
        <f t="shared" si="23"/>
        <v>0</v>
      </c>
    </row>
    <row r="260" spans="1:10" x14ac:dyDescent="0.25">
      <c r="A260" s="122"/>
      <c r="B260" s="98">
        <f t="shared" si="18"/>
        <v>246</v>
      </c>
      <c r="C260" s="122">
        <f t="shared" si="19"/>
        <v>0</v>
      </c>
      <c r="E260" s="122">
        <f t="shared" si="20"/>
        <v>0</v>
      </c>
      <c r="F260" s="122"/>
      <c r="G260" s="122">
        <f t="shared" si="21"/>
        <v>0</v>
      </c>
      <c r="H260" s="122"/>
      <c r="I260" s="122">
        <f t="shared" si="22"/>
        <v>0</v>
      </c>
      <c r="J260" s="122">
        <f t="shared" si="23"/>
        <v>0</v>
      </c>
    </row>
    <row r="261" spans="1:10" x14ac:dyDescent="0.25">
      <c r="A261" s="122"/>
      <c r="B261" s="98">
        <f t="shared" si="18"/>
        <v>247</v>
      </c>
      <c r="C261" s="122">
        <f t="shared" si="19"/>
        <v>0</v>
      </c>
      <c r="E261" s="122">
        <f t="shared" si="20"/>
        <v>0</v>
      </c>
      <c r="F261" s="122"/>
      <c r="G261" s="122">
        <f t="shared" si="21"/>
        <v>0</v>
      </c>
      <c r="H261" s="122"/>
      <c r="I261" s="122">
        <f t="shared" si="22"/>
        <v>0</v>
      </c>
      <c r="J261" s="122">
        <f t="shared" si="23"/>
        <v>0</v>
      </c>
    </row>
    <row r="262" spans="1:10" x14ac:dyDescent="0.25">
      <c r="A262" s="122"/>
      <c r="B262" s="98">
        <f t="shared" si="18"/>
        <v>248</v>
      </c>
      <c r="C262" s="122">
        <f t="shared" si="19"/>
        <v>0</v>
      </c>
      <c r="E262" s="122">
        <f t="shared" si="20"/>
        <v>0</v>
      </c>
      <c r="F262" s="122"/>
      <c r="G262" s="122">
        <f t="shared" si="21"/>
        <v>0</v>
      </c>
      <c r="H262" s="122"/>
      <c r="I262" s="122">
        <f t="shared" si="22"/>
        <v>0</v>
      </c>
      <c r="J262" s="122">
        <f t="shared" si="23"/>
        <v>0</v>
      </c>
    </row>
    <row r="263" spans="1:10" x14ac:dyDescent="0.25">
      <c r="A263" s="122"/>
      <c r="B263" s="98">
        <f t="shared" si="18"/>
        <v>249</v>
      </c>
      <c r="C263" s="122">
        <f t="shared" si="19"/>
        <v>0</v>
      </c>
      <c r="E263" s="122">
        <f t="shared" si="20"/>
        <v>0</v>
      </c>
      <c r="F263" s="122"/>
      <c r="G263" s="122">
        <f t="shared" si="21"/>
        <v>0</v>
      </c>
      <c r="H263" s="122"/>
      <c r="I263" s="122">
        <f t="shared" si="22"/>
        <v>0</v>
      </c>
      <c r="J263" s="122">
        <f t="shared" si="23"/>
        <v>0</v>
      </c>
    </row>
    <row r="264" spans="1:10" x14ac:dyDescent="0.25">
      <c r="A264" s="122"/>
      <c r="B264" s="98">
        <f t="shared" si="18"/>
        <v>250</v>
      </c>
      <c r="C264" s="122">
        <f t="shared" si="19"/>
        <v>0</v>
      </c>
      <c r="E264" s="122">
        <f t="shared" si="20"/>
        <v>0</v>
      </c>
      <c r="F264" s="122"/>
      <c r="G264" s="122">
        <f t="shared" si="21"/>
        <v>0</v>
      </c>
      <c r="H264" s="122"/>
      <c r="I264" s="122">
        <f t="shared" si="22"/>
        <v>0</v>
      </c>
      <c r="J264" s="122">
        <f t="shared" si="23"/>
        <v>0</v>
      </c>
    </row>
    <row r="265" spans="1:10" x14ac:dyDescent="0.25">
      <c r="A265" s="122"/>
      <c r="B265" s="98">
        <f t="shared" si="18"/>
        <v>251</v>
      </c>
      <c r="C265" s="122">
        <f t="shared" si="19"/>
        <v>0</v>
      </c>
      <c r="E265" s="122">
        <f t="shared" si="20"/>
        <v>0</v>
      </c>
      <c r="F265" s="122"/>
      <c r="G265" s="122">
        <f t="shared" si="21"/>
        <v>0</v>
      </c>
      <c r="H265" s="122"/>
      <c r="I265" s="122">
        <f t="shared" si="22"/>
        <v>0</v>
      </c>
      <c r="J265" s="122">
        <f t="shared" si="23"/>
        <v>0</v>
      </c>
    </row>
    <row r="266" spans="1:10" x14ac:dyDescent="0.25">
      <c r="A266" s="122"/>
      <c r="B266" s="98">
        <f t="shared" si="18"/>
        <v>252</v>
      </c>
      <c r="C266" s="122">
        <f t="shared" si="19"/>
        <v>0</v>
      </c>
      <c r="E266" s="122">
        <f t="shared" si="20"/>
        <v>0</v>
      </c>
      <c r="F266" s="122"/>
      <c r="G266" s="122">
        <f t="shared" si="21"/>
        <v>0</v>
      </c>
      <c r="H266" s="122"/>
      <c r="I266" s="122">
        <f t="shared" si="22"/>
        <v>0</v>
      </c>
      <c r="J266" s="122">
        <f t="shared" si="23"/>
        <v>0</v>
      </c>
    </row>
    <row r="267" spans="1:10" x14ac:dyDescent="0.25">
      <c r="A267" s="122"/>
      <c r="B267" s="98">
        <f t="shared" si="18"/>
        <v>253</v>
      </c>
      <c r="C267" s="122">
        <f t="shared" si="19"/>
        <v>0</v>
      </c>
      <c r="E267" s="122">
        <f t="shared" si="20"/>
        <v>0</v>
      </c>
      <c r="F267" s="122"/>
      <c r="G267" s="122">
        <f t="shared" si="21"/>
        <v>0</v>
      </c>
      <c r="H267" s="122"/>
      <c r="I267" s="122">
        <f t="shared" si="22"/>
        <v>0</v>
      </c>
      <c r="J267" s="122">
        <f t="shared" si="23"/>
        <v>0</v>
      </c>
    </row>
    <row r="268" spans="1:10" x14ac:dyDescent="0.25">
      <c r="A268" s="122"/>
      <c r="B268" s="98">
        <f t="shared" si="18"/>
        <v>254</v>
      </c>
      <c r="C268" s="122">
        <f t="shared" si="19"/>
        <v>0</v>
      </c>
      <c r="E268" s="122">
        <f t="shared" si="20"/>
        <v>0</v>
      </c>
      <c r="F268" s="122"/>
      <c r="G268" s="122">
        <f t="shared" si="21"/>
        <v>0</v>
      </c>
      <c r="H268" s="122"/>
      <c r="I268" s="122">
        <f t="shared" si="22"/>
        <v>0</v>
      </c>
      <c r="J268" s="122">
        <f t="shared" si="23"/>
        <v>0</v>
      </c>
    </row>
    <row r="269" spans="1:10" x14ac:dyDescent="0.25">
      <c r="A269" s="122"/>
      <c r="B269" s="98">
        <f t="shared" si="18"/>
        <v>255</v>
      </c>
      <c r="C269" s="122">
        <f t="shared" si="19"/>
        <v>0</v>
      </c>
      <c r="E269" s="122">
        <f t="shared" si="20"/>
        <v>0</v>
      </c>
      <c r="F269" s="122"/>
      <c r="G269" s="122">
        <f t="shared" si="21"/>
        <v>0</v>
      </c>
      <c r="H269" s="122"/>
      <c r="I269" s="122">
        <f t="shared" si="22"/>
        <v>0</v>
      </c>
      <c r="J269" s="122">
        <f t="shared" si="23"/>
        <v>0</v>
      </c>
    </row>
    <row r="270" spans="1:10" x14ac:dyDescent="0.25">
      <c r="A270" s="122"/>
      <c r="B270" s="98">
        <f t="shared" si="18"/>
        <v>256</v>
      </c>
      <c r="C270" s="122">
        <f t="shared" si="19"/>
        <v>0</v>
      </c>
      <c r="E270" s="122">
        <f t="shared" si="20"/>
        <v>0</v>
      </c>
      <c r="F270" s="122"/>
      <c r="G270" s="122">
        <f t="shared" si="21"/>
        <v>0</v>
      </c>
      <c r="H270" s="122"/>
      <c r="I270" s="122">
        <f t="shared" si="22"/>
        <v>0</v>
      </c>
      <c r="J270" s="122">
        <f t="shared" si="23"/>
        <v>0</v>
      </c>
    </row>
    <row r="271" spans="1:10" x14ac:dyDescent="0.25">
      <c r="A271" s="122"/>
      <c r="B271" s="98">
        <f t="shared" si="18"/>
        <v>257</v>
      </c>
      <c r="C271" s="122">
        <f t="shared" si="19"/>
        <v>0</v>
      </c>
      <c r="E271" s="122">
        <f t="shared" si="20"/>
        <v>0</v>
      </c>
      <c r="F271" s="122"/>
      <c r="G271" s="122">
        <f t="shared" si="21"/>
        <v>0</v>
      </c>
      <c r="H271" s="122"/>
      <c r="I271" s="122">
        <f t="shared" si="22"/>
        <v>0</v>
      </c>
      <c r="J271" s="122">
        <f t="shared" si="23"/>
        <v>0</v>
      </c>
    </row>
    <row r="272" spans="1:10" x14ac:dyDescent="0.25">
      <c r="A272" s="122"/>
      <c r="B272" s="98">
        <f t="shared" ref="B272:B335" si="24">B271+1</f>
        <v>258</v>
      </c>
      <c r="C272" s="122">
        <f t="shared" ref="C272:C335" si="25">IF(B272&gt;$G$8+$L$7,0,J271)</f>
        <v>0</v>
      </c>
      <c r="E272" s="122">
        <f t="shared" ref="E272:E335" si="26">IFERROR(-IF(AND($L$6&gt;0,B272&lt;=$L$7),-$E$10*$E$6,PMT($E$10,$G$8,$E$6))*IF(B272&gt;$G$8+$L$7,0,1),0)</f>
        <v>0</v>
      </c>
      <c r="F272" s="122"/>
      <c r="G272" s="122">
        <f t="shared" ref="G272:G335" si="27">IF(AND($L$6&gt;0,B272&lt;=$L$7),0,C272-J272)</f>
        <v>0</v>
      </c>
      <c r="H272" s="122"/>
      <c r="I272" s="122">
        <f t="shared" ref="I272:I335" si="28">E272-G272</f>
        <v>0</v>
      </c>
      <c r="J272" s="122">
        <f t="shared" ref="J272:J335" si="29">-FV($E$10,1,-E272,C272)</f>
        <v>0</v>
      </c>
    </row>
    <row r="273" spans="1:10" x14ac:dyDescent="0.25">
      <c r="A273" s="122"/>
      <c r="B273" s="98">
        <f t="shared" si="24"/>
        <v>259</v>
      </c>
      <c r="C273" s="122">
        <f t="shared" si="25"/>
        <v>0</v>
      </c>
      <c r="E273" s="122">
        <f t="shared" si="26"/>
        <v>0</v>
      </c>
      <c r="F273" s="122"/>
      <c r="G273" s="122">
        <f t="shared" si="27"/>
        <v>0</v>
      </c>
      <c r="H273" s="122"/>
      <c r="I273" s="122">
        <f t="shared" si="28"/>
        <v>0</v>
      </c>
      <c r="J273" s="122">
        <f t="shared" si="29"/>
        <v>0</v>
      </c>
    </row>
    <row r="274" spans="1:10" x14ac:dyDescent="0.25">
      <c r="A274" s="122"/>
      <c r="B274" s="98">
        <f t="shared" si="24"/>
        <v>260</v>
      </c>
      <c r="C274" s="122">
        <f t="shared" si="25"/>
        <v>0</v>
      </c>
      <c r="E274" s="122">
        <f t="shared" si="26"/>
        <v>0</v>
      </c>
      <c r="F274" s="122"/>
      <c r="G274" s="122">
        <f t="shared" si="27"/>
        <v>0</v>
      </c>
      <c r="H274" s="122"/>
      <c r="I274" s="122">
        <f t="shared" si="28"/>
        <v>0</v>
      </c>
      <c r="J274" s="122">
        <f t="shared" si="29"/>
        <v>0</v>
      </c>
    </row>
    <row r="275" spans="1:10" x14ac:dyDescent="0.25">
      <c r="A275" s="122"/>
      <c r="B275" s="98">
        <f t="shared" si="24"/>
        <v>261</v>
      </c>
      <c r="C275" s="122">
        <f t="shared" si="25"/>
        <v>0</v>
      </c>
      <c r="E275" s="122">
        <f t="shared" si="26"/>
        <v>0</v>
      </c>
      <c r="F275" s="122"/>
      <c r="G275" s="122">
        <f t="shared" si="27"/>
        <v>0</v>
      </c>
      <c r="H275" s="122"/>
      <c r="I275" s="122">
        <f t="shared" si="28"/>
        <v>0</v>
      </c>
      <c r="J275" s="122">
        <f t="shared" si="29"/>
        <v>0</v>
      </c>
    </row>
    <row r="276" spans="1:10" x14ac:dyDescent="0.25">
      <c r="A276" s="122"/>
      <c r="B276" s="98">
        <f t="shared" si="24"/>
        <v>262</v>
      </c>
      <c r="C276" s="122">
        <f t="shared" si="25"/>
        <v>0</v>
      </c>
      <c r="E276" s="122">
        <f t="shared" si="26"/>
        <v>0</v>
      </c>
      <c r="F276" s="122"/>
      <c r="G276" s="122">
        <f t="shared" si="27"/>
        <v>0</v>
      </c>
      <c r="H276" s="122"/>
      <c r="I276" s="122">
        <f t="shared" si="28"/>
        <v>0</v>
      </c>
      <c r="J276" s="122">
        <f t="shared" si="29"/>
        <v>0</v>
      </c>
    </row>
    <row r="277" spans="1:10" x14ac:dyDescent="0.25">
      <c r="A277" s="122"/>
      <c r="B277" s="98">
        <f t="shared" si="24"/>
        <v>263</v>
      </c>
      <c r="C277" s="122">
        <f t="shared" si="25"/>
        <v>0</v>
      </c>
      <c r="E277" s="122">
        <f t="shared" si="26"/>
        <v>0</v>
      </c>
      <c r="F277" s="122"/>
      <c r="G277" s="122">
        <f t="shared" si="27"/>
        <v>0</v>
      </c>
      <c r="H277" s="122"/>
      <c r="I277" s="122">
        <f t="shared" si="28"/>
        <v>0</v>
      </c>
      <c r="J277" s="122">
        <f t="shared" si="29"/>
        <v>0</v>
      </c>
    </row>
    <row r="278" spans="1:10" x14ac:dyDescent="0.25">
      <c r="A278" s="122"/>
      <c r="B278" s="98">
        <f t="shared" si="24"/>
        <v>264</v>
      </c>
      <c r="C278" s="122">
        <f t="shared" si="25"/>
        <v>0</v>
      </c>
      <c r="E278" s="122">
        <f t="shared" si="26"/>
        <v>0</v>
      </c>
      <c r="F278" s="122"/>
      <c r="G278" s="122">
        <f t="shared" si="27"/>
        <v>0</v>
      </c>
      <c r="H278" s="122"/>
      <c r="I278" s="122">
        <f t="shared" si="28"/>
        <v>0</v>
      </c>
      <c r="J278" s="122">
        <f t="shared" si="29"/>
        <v>0</v>
      </c>
    </row>
    <row r="279" spans="1:10" x14ac:dyDescent="0.25">
      <c r="A279" s="122"/>
      <c r="B279" s="98">
        <f t="shared" si="24"/>
        <v>265</v>
      </c>
      <c r="C279" s="122">
        <f t="shared" si="25"/>
        <v>0</v>
      </c>
      <c r="E279" s="122">
        <f t="shared" si="26"/>
        <v>0</v>
      </c>
      <c r="F279" s="122"/>
      <c r="G279" s="122">
        <f t="shared" si="27"/>
        <v>0</v>
      </c>
      <c r="H279" s="122"/>
      <c r="I279" s="122">
        <f t="shared" si="28"/>
        <v>0</v>
      </c>
      <c r="J279" s="122">
        <f t="shared" si="29"/>
        <v>0</v>
      </c>
    </row>
    <row r="280" spans="1:10" x14ac:dyDescent="0.25">
      <c r="A280" s="122"/>
      <c r="B280" s="98">
        <f t="shared" si="24"/>
        <v>266</v>
      </c>
      <c r="C280" s="122">
        <f t="shared" si="25"/>
        <v>0</v>
      </c>
      <c r="E280" s="122">
        <f t="shared" si="26"/>
        <v>0</v>
      </c>
      <c r="F280" s="122"/>
      <c r="G280" s="122">
        <f t="shared" si="27"/>
        <v>0</v>
      </c>
      <c r="H280" s="122"/>
      <c r="I280" s="122">
        <f t="shared" si="28"/>
        <v>0</v>
      </c>
      <c r="J280" s="122">
        <f t="shared" si="29"/>
        <v>0</v>
      </c>
    </row>
    <row r="281" spans="1:10" x14ac:dyDescent="0.25">
      <c r="A281" s="122"/>
      <c r="B281" s="98">
        <f t="shared" si="24"/>
        <v>267</v>
      </c>
      <c r="C281" s="122">
        <f t="shared" si="25"/>
        <v>0</v>
      </c>
      <c r="E281" s="122">
        <f t="shared" si="26"/>
        <v>0</v>
      </c>
      <c r="F281" s="122"/>
      <c r="G281" s="122">
        <f t="shared" si="27"/>
        <v>0</v>
      </c>
      <c r="H281" s="122"/>
      <c r="I281" s="122">
        <f t="shared" si="28"/>
        <v>0</v>
      </c>
      <c r="J281" s="122">
        <f t="shared" si="29"/>
        <v>0</v>
      </c>
    </row>
    <row r="282" spans="1:10" x14ac:dyDescent="0.25">
      <c r="A282" s="122"/>
      <c r="B282" s="98">
        <f t="shared" si="24"/>
        <v>268</v>
      </c>
      <c r="C282" s="122">
        <f t="shared" si="25"/>
        <v>0</v>
      </c>
      <c r="E282" s="122">
        <f t="shared" si="26"/>
        <v>0</v>
      </c>
      <c r="F282" s="122"/>
      <c r="G282" s="122">
        <f t="shared" si="27"/>
        <v>0</v>
      </c>
      <c r="H282" s="122"/>
      <c r="I282" s="122">
        <f t="shared" si="28"/>
        <v>0</v>
      </c>
      <c r="J282" s="122">
        <f t="shared" si="29"/>
        <v>0</v>
      </c>
    </row>
    <row r="283" spans="1:10" x14ac:dyDescent="0.25">
      <c r="A283" s="122"/>
      <c r="B283" s="98">
        <f t="shared" si="24"/>
        <v>269</v>
      </c>
      <c r="C283" s="122">
        <f t="shared" si="25"/>
        <v>0</v>
      </c>
      <c r="E283" s="122">
        <f t="shared" si="26"/>
        <v>0</v>
      </c>
      <c r="F283" s="122"/>
      <c r="G283" s="122">
        <f t="shared" si="27"/>
        <v>0</v>
      </c>
      <c r="H283" s="122"/>
      <c r="I283" s="122">
        <f t="shared" si="28"/>
        <v>0</v>
      </c>
      <c r="J283" s="122">
        <f t="shared" si="29"/>
        <v>0</v>
      </c>
    </row>
    <row r="284" spans="1:10" x14ac:dyDescent="0.25">
      <c r="A284" s="122"/>
      <c r="B284" s="98">
        <f t="shared" si="24"/>
        <v>270</v>
      </c>
      <c r="C284" s="122">
        <f t="shared" si="25"/>
        <v>0</v>
      </c>
      <c r="E284" s="122">
        <f t="shared" si="26"/>
        <v>0</v>
      </c>
      <c r="F284" s="122"/>
      <c r="G284" s="122">
        <f t="shared" si="27"/>
        <v>0</v>
      </c>
      <c r="H284" s="122"/>
      <c r="I284" s="122">
        <f t="shared" si="28"/>
        <v>0</v>
      </c>
      <c r="J284" s="122">
        <f t="shared" si="29"/>
        <v>0</v>
      </c>
    </row>
    <row r="285" spans="1:10" x14ac:dyDescent="0.25">
      <c r="A285" s="122"/>
      <c r="B285" s="98">
        <f t="shared" si="24"/>
        <v>271</v>
      </c>
      <c r="C285" s="122">
        <f t="shared" si="25"/>
        <v>0</v>
      </c>
      <c r="E285" s="122">
        <f t="shared" si="26"/>
        <v>0</v>
      </c>
      <c r="F285" s="122"/>
      <c r="G285" s="122">
        <f t="shared" si="27"/>
        <v>0</v>
      </c>
      <c r="H285" s="122"/>
      <c r="I285" s="122">
        <f t="shared" si="28"/>
        <v>0</v>
      </c>
      <c r="J285" s="122">
        <f t="shared" si="29"/>
        <v>0</v>
      </c>
    </row>
    <row r="286" spans="1:10" x14ac:dyDescent="0.25">
      <c r="A286" s="122"/>
      <c r="B286" s="98">
        <f t="shared" si="24"/>
        <v>272</v>
      </c>
      <c r="C286" s="122">
        <f t="shared" si="25"/>
        <v>0</v>
      </c>
      <c r="E286" s="122">
        <f t="shared" si="26"/>
        <v>0</v>
      </c>
      <c r="F286" s="122"/>
      <c r="G286" s="122">
        <f t="shared" si="27"/>
        <v>0</v>
      </c>
      <c r="H286" s="122"/>
      <c r="I286" s="122">
        <f t="shared" si="28"/>
        <v>0</v>
      </c>
      <c r="J286" s="122">
        <f t="shared" si="29"/>
        <v>0</v>
      </c>
    </row>
    <row r="287" spans="1:10" x14ac:dyDescent="0.25">
      <c r="A287" s="122"/>
      <c r="B287" s="98">
        <f t="shared" si="24"/>
        <v>273</v>
      </c>
      <c r="C287" s="122">
        <f t="shared" si="25"/>
        <v>0</v>
      </c>
      <c r="E287" s="122">
        <f t="shared" si="26"/>
        <v>0</v>
      </c>
      <c r="F287" s="122"/>
      <c r="G287" s="122">
        <f t="shared" si="27"/>
        <v>0</v>
      </c>
      <c r="H287" s="122"/>
      <c r="I287" s="122">
        <f t="shared" si="28"/>
        <v>0</v>
      </c>
      <c r="J287" s="122">
        <f t="shared" si="29"/>
        <v>0</v>
      </c>
    </row>
    <row r="288" spans="1:10" x14ac:dyDescent="0.25">
      <c r="A288" s="122"/>
      <c r="B288" s="98">
        <f t="shared" si="24"/>
        <v>274</v>
      </c>
      <c r="C288" s="122">
        <f t="shared" si="25"/>
        <v>0</v>
      </c>
      <c r="E288" s="122">
        <f t="shared" si="26"/>
        <v>0</v>
      </c>
      <c r="F288" s="122"/>
      <c r="G288" s="122">
        <f t="shared" si="27"/>
        <v>0</v>
      </c>
      <c r="H288" s="122"/>
      <c r="I288" s="122">
        <f t="shared" si="28"/>
        <v>0</v>
      </c>
      <c r="J288" s="122">
        <f t="shared" si="29"/>
        <v>0</v>
      </c>
    </row>
    <row r="289" spans="1:10" x14ac:dyDescent="0.25">
      <c r="A289" s="122"/>
      <c r="B289" s="98">
        <f t="shared" si="24"/>
        <v>275</v>
      </c>
      <c r="C289" s="122">
        <f t="shared" si="25"/>
        <v>0</v>
      </c>
      <c r="E289" s="122">
        <f t="shared" si="26"/>
        <v>0</v>
      </c>
      <c r="F289" s="122"/>
      <c r="G289" s="122">
        <f t="shared" si="27"/>
        <v>0</v>
      </c>
      <c r="H289" s="122"/>
      <c r="I289" s="122">
        <f t="shared" si="28"/>
        <v>0</v>
      </c>
      <c r="J289" s="122">
        <f t="shared" si="29"/>
        <v>0</v>
      </c>
    </row>
    <row r="290" spans="1:10" x14ac:dyDescent="0.25">
      <c r="A290" s="122"/>
      <c r="B290" s="98">
        <f t="shared" si="24"/>
        <v>276</v>
      </c>
      <c r="C290" s="122">
        <f t="shared" si="25"/>
        <v>0</v>
      </c>
      <c r="E290" s="122">
        <f t="shared" si="26"/>
        <v>0</v>
      </c>
      <c r="F290" s="122"/>
      <c r="G290" s="122">
        <f t="shared" si="27"/>
        <v>0</v>
      </c>
      <c r="H290" s="122"/>
      <c r="I290" s="122">
        <f t="shared" si="28"/>
        <v>0</v>
      </c>
      <c r="J290" s="122">
        <f t="shared" si="29"/>
        <v>0</v>
      </c>
    </row>
    <row r="291" spans="1:10" x14ac:dyDescent="0.25">
      <c r="A291" s="122"/>
      <c r="B291" s="98">
        <f t="shared" si="24"/>
        <v>277</v>
      </c>
      <c r="C291" s="122">
        <f t="shared" si="25"/>
        <v>0</v>
      </c>
      <c r="E291" s="122">
        <f t="shared" si="26"/>
        <v>0</v>
      </c>
      <c r="F291" s="122"/>
      <c r="G291" s="122">
        <f t="shared" si="27"/>
        <v>0</v>
      </c>
      <c r="H291" s="122"/>
      <c r="I291" s="122">
        <f t="shared" si="28"/>
        <v>0</v>
      </c>
      <c r="J291" s="122">
        <f t="shared" si="29"/>
        <v>0</v>
      </c>
    </row>
    <row r="292" spans="1:10" x14ac:dyDescent="0.25">
      <c r="A292" s="122"/>
      <c r="B292" s="98">
        <f t="shared" si="24"/>
        <v>278</v>
      </c>
      <c r="C292" s="122">
        <f t="shared" si="25"/>
        <v>0</v>
      </c>
      <c r="E292" s="122">
        <f t="shared" si="26"/>
        <v>0</v>
      </c>
      <c r="F292" s="122"/>
      <c r="G292" s="122">
        <f t="shared" si="27"/>
        <v>0</v>
      </c>
      <c r="H292" s="122"/>
      <c r="I292" s="122">
        <f t="shared" si="28"/>
        <v>0</v>
      </c>
      <c r="J292" s="122">
        <f t="shared" si="29"/>
        <v>0</v>
      </c>
    </row>
    <row r="293" spans="1:10" x14ac:dyDescent="0.25">
      <c r="A293" s="122"/>
      <c r="B293" s="98">
        <f t="shared" si="24"/>
        <v>279</v>
      </c>
      <c r="C293" s="122">
        <f t="shared" si="25"/>
        <v>0</v>
      </c>
      <c r="E293" s="122">
        <f t="shared" si="26"/>
        <v>0</v>
      </c>
      <c r="F293" s="122"/>
      <c r="G293" s="122">
        <f t="shared" si="27"/>
        <v>0</v>
      </c>
      <c r="H293" s="122"/>
      <c r="I293" s="122">
        <f t="shared" si="28"/>
        <v>0</v>
      </c>
      <c r="J293" s="122">
        <f t="shared" si="29"/>
        <v>0</v>
      </c>
    </row>
    <row r="294" spans="1:10" x14ac:dyDescent="0.25">
      <c r="A294" s="122"/>
      <c r="B294" s="98">
        <f t="shared" si="24"/>
        <v>280</v>
      </c>
      <c r="C294" s="122">
        <f t="shared" si="25"/>
        <v>0</v>
      </c>
      <c r="E294" s="122">
        <f t="shared" si="26"/>
        <v>0</v>
      </c>
      <c r="F294" s="122"/>
      <c r="G294" s="122">
        <f t="shared" si="27"/>
        <v>0</v>
      </c>
      <c r="H294" s="122"/>
      <c r="I294" s="122">
        <f t="shared" si="28"/>
        <v>0</v>
      </c>
      <c r="J294" s="122">
        <f t="shared" si="29"/>
        <v>0</v>
      </c>
    </row>
    <row r="295" spans="1:10" x14ac:dyDescent="0.25">
      <c r="A295" s="122"/>
      <c r="B295" s="98">
        <f t="shared" si="24"/>
        <v>281</v>
      </c>
      <c r="C295" s="122">
        <f t="shared" si="25"/>
        <v>0</v>
      </c>
      <c r="E295" s="122">
        <f t="shared" si="26"/>
        <v>0</v>
      </c>
      <c r="F295" s="122"/>
      <c r="G295" s="122">
        <f t="shared" si="27"/>
        <v>0</v>
      </c>
      <c r="H295" s="122"/>
      <c r="I295" s="122">
        <f t="shared" si="28"/>
        <v>0</v>
      </c>
      <c r="J295" s="122">
        <f t="shared" si="29"/>
        <v>0</v>
      </c>
    </row>
    <row r="296" spans="1:10" x14ac:dyDescent="0.25">
      <c r="A296" s="122"/>
      <c r="B296" s="98">
        <f t="shared" si="24"/>
        <v>282</v>
      </c>
      <c r="C296" s="122">
        <f t="shared" si="25"/>
        <v>0</v>
      </c>
      <c r="E296" s="122">
        <f t="shared" si="26"/>
        <v>0</v>
      </c>
      <c r="F296" s="122"/>
      <c r="G296" s="122">
        <f t="shared" si="27"/>
        <v>0</v>
      </c>
      <c r="H296" s="122"/>
      <c r="I296" s="122">
        <f t="shared" si="28"/>
        <v>0</v>
      </c>
      <c r="J296" s="122">
        <f t="shared" si="29"/>
        <v>0</v>
      </c>
    </row>
    <row r="297" spans="1:10" x14ac:dyDescent="0.25">
      <c r="A297" s="122"/>
      <c r="B297" s="98">
        <f t="shared" si="24"/>
        <v>283</v>
      </c>
      <c r="C297" s="122">
        <f t="shared" si="25"/>
        <v>0</v>
      </c>
      <c r="E297" s="122">
        <f t="shared" si="26"/>
        <v>0</v>
      </c>
      <c r="F297" s="122"/>
      <c r="G297" s="122">
        <f t="shared" si="27"/>
        <v>0</v>
      </c>
      <c r="H297" s="122"/>
      <c r="I297" s="122">
        <f t="shared" si="28"/>
        <v>0</v>
      </c>
      <c r="J297" s="122">
        <f t="shared" si="29"/>
        <v>0</v>
      </c>
    </row>
    <row r="298" spans="1:10" x14ac:dyDescent="0.25">
      <c r="A298" s="122"/>
      <c r="B298" s="98">
        <f t="shared" si="24"/>
        <v>284</v>
      </c>
      <c r="C298" s="122">
        <f t="shared" si="25"/>
        <v>0</v>
      </c>
      <c r="E298" s="122">
        <f t="shared" si="26"/>
        <v>0</v>
      </c>
      <c r="F298" s="122"/>
      <c r="G298" s="122">
        <f t="shared" si="27"/>
        <v>0</v>
      </c>
      <c r="H298" s="122"/>
      <c r="I298" s="122">
        <f t="shared" si="28"/>
        <v>0</v>
      </c>
      <c r="J298" s="122">
        <f t="shared" si="29"/>
        <v>0</v>
      </c>
    </row>
    <row r="299" spans="1:10" x14ac:dyDescent="0.25">
      <c r="A299" s="122"/>
      <c r="B299" s="98">
        <f t="shared" si="24"/>
        <v>285</v>
      </c>
      <c r="C299" s="122">
        <f t="shared" si="25"/>
        <v>0</v>
      </c>
      <c r="E299" s="122">
        <f t="shared" si="26"/>
        <v>0</v>
      </c>
      <c r="F299" s="122"/>
      <c r="G299" s="122">
        <f t="shared" si="27"/>
        <v>0</v>
      </c>
      <c r="H299" s="122"/>
      <c r="I299" s="122">
        <f t="shared" si="28"/>
        <v>0</v>
      </c>
      <c r="J299" s="122">
        <f t="shared" si="29"/>
        <v>0</v>
      </c>
    </row>
    <row r="300" spans="1:10" x14ac:dyDescent="0.25">
      <c r="A300" s="122"/>
      <c r="B300" s="98">
        <f t="shared" si="24"/>
        <v>286</v>
      </c>
      <c r="C300" s="122">
        <f t="shared" si="25"/>
        <v>0</v>
      </c>
      <c r="E300" s="122">
        <f t="shared" si="26"/>
        <v>0</v>
      </c>
      <c r="F300" s="122"/>
      <c r="G300" s="122">
        <f t="shared" si="27"/>
        <v>0</v>
      </c>
      <c r="H300" s="122"/>
      <c r="I300" s="122">
        <f t="shared" si="28"/>
        <v>0</v>
      </c>
      <c r="J300" s="122">
        <f t="shared" si="29"/>
        <v>0</v>
      </c>
    </row>
    <row r="301" spans="1:10" x14ac:dyDescent="0.25">
      <c r="A301" s="122"/>
      <c r="B301" s="98">
        <f t="shared" si="24"/>
        <v>287</v>
      </c>
      <c r="C301" s="122">
        <f t="shared" si="25"/>
        <v>0</v>
      </c>
      <c r="E301" s="122">
        <f t="shared" si="26"/>
        <v>0</v>
      </c>
      <c r="F301" s="122"/>
      <c r="G301" s="122">
        <f t="shared" si="27"/>
        <v>0</v>
      </c>
      <c r="H301" s="122"/>
      <c r="I301" s="122">
        <f t="shared" si="28"/>
        <v>0</v>
      </c>
      <c r="J301" s="122">
        <f t="shared" si="29"/>
        <v>0</v>
      </c>
    </row>
    <row r="302" spans="1:10" x14ac:dyDescent="0.25">
      <c r="A302" s="122"/>
      <c r="B302" s="98">
        <f t="shared" si="24"/>
        <v>288</v>
      </c>
      <c r="C302" s="122">
        <f t="shared" si="25"/>
        <v>0</v>
      </c>
      <c r="E302" s="122">
        <f t="shared" si="26"/>
        <v>0</v>
      </c>
      <c r="F302" s="122"/>
      <c r="G302" s="122">
        <f t="shared" si="27"/>
        <v>0</v>
      </c>
      <c r="H302" s="122"/>
      <c r="I302" s="122">
        <f t="shared" si="28"/>
        <v>0</v>
      </c>
      <c r="J302" s="122">
        <f t="shared" si="29"/>
        <v>0</v>
      </c>
    </row>
    <row r="303" spans="1:10" x14ac:dyDescent="0.25">
      <c r="A303" s="122"/>
      <c r="B303" s="98">
        <f t="shared" si="24"/>
        <v>289</v>
      </c>
      <c r="C303" s="122">
        <f t="shared" si="25"/>
        <v>0</v>
      </c>
      <c r="E303" s="122">
        <f t="shared" si="26"/>
        <v>0</v>
      </c>
      <c r="F303" s="122"/>
      <c r="G303" s="122">
        <f t="shared" si="27"/>
        <v>0</v>
      </c>
      <c r="H303" s="122"/>
      <c r="I303" s="122">
        <f t="shared" si="28"/>
        <v>0</v>
      </c>
      <c r="J303" s="122">
        <f t="shared" si="29"/>
        <v>0</v>
      </c>
    </row>
    <row r="304" spans="1:10" x14ac:dyDescent="0.25">
      <c r="A304" s="122"/>
      <c r="B304" s="98">
        <f t="shared" si="24"/>
        <v>290</v>
      </c>
      <c r="C304" s="122">
        <f t="shared" si="25"/>
        <v>0</v>
      </c>
      <c r="E304" s="122">
        <f t="shared" si="26"/>
        <v>0</v>
      </c>
      <c r="F304" s="122"/>
      <c r="G304" s="122">
        <f t="shared" si="27"/>
        <v>0</v>
      </c>
      <c r="H304" s="122"/>
      <c r="I304" s="122">
        <f t="shared" si="28"/>
        <v>0</v>
      </c>
      <c r="J304" s="122">
        <f t="shared" si="29"/>
        <v>0</v>
      </c>
    </row>
    <row r="305" spans="1:10" x14ac:dyDescent="0.25">
      <c r="A305" s="122"/>
      <c r="B305" s="98">
        <f t="shared" si="24"/>
        <v>291</v>
      </c>
      <c r="C305" s="122">
        <f t="shared" si="25"/>
        <v>0</v>
      </c>
      <c r="E305" s="122">
        <f t="shared" si="26"/>
        <v>0</v>
      </c>
      <c r="F305" s="122"/>
      <c r="G305" s="122">
        <f t="shared" si="27"/>
        <v>0</v>
      </c>
      <c r="H305" s="122"/>
      <c r="I305" s="122">
        <f t="shared" si="28"/>
        <v>0</v>
      </c>
      <c r="J305" s="122">
        <f t="shared" si="29"/>
        <v>0</v>
      </c>
    </row>
    <row r="306" spans="1:10" x14ac:dyDescent="0.25">
      <c r="A306" s="122"/>
      <c r="B306" s="98">
        <f t="shared" si="24"/>
        <v>292</v>
      </c>
      <c r="C306" s="122">
        <f t="shared" si="25"/>
        <v>0</v>
      </c>
      <c r="E306" s="122">
        <f t="shared" si="26"/>
        <v>0</v>
      </c>
      <c r="F306" s="122"/>
      <c r="G306" s="122">
        <f t="shared" si="27"/>
        <v>0</v>
      </c>
      <c r="H306" s="122"/>
      <c r="I306" s="122">
        <f t="shared" si="28"/>
        <v>0</v>
      </c>
      <c r="J306" s="122">
        <f t="shared" si="29"/>
        <v>0</v>
      </c>
    </row>
    <row r="307" spans="1:10" x14ac:dyDescent="0.25">
      <c r="A307" s="122"/>
      <c r="B307" s="98">
        <f t="shared" si="24"/>
        <v>293</v>
      </c>
      <c r="C307" s="122">
        <f t="shared" si="25"/>
        <v>0</v>
      </c>
      <c r="E307" s="122">
        <f t="shared" si="26"/>
        <v>0</v>
      </c>
      <c r="F307" s="122"/>
      <c r="G307" s="122">
        <f t="shared" si="27"/>
        <v>0</v>
      </c>
      <c r="H307" s="122"/>
      <c r="I307" s="122">
        <f t="shared" si="28"/>
        <v>0</v>
      </c>
      <c r="J307" s="122">
        <f t="shared" si="29"/>
        <v>0</v>
      </c>
    </row>
    <row r="308" spans="1:10" x14ac:dyDescent="0.25">
      <c r="A308" s="122"/>
      <c r="B308" s="98">
        <f t="shared" si="24"/>
        <v>294</v>
      </c>
      <c r="C308" s="122">
        <f t="shared" si="25"/>
        <v>0</v>
      </c>
      <c r="E308" s="122">
        <f t="shared" si="26"/>
        <v>0</v>
      </c>
      <c r="F308" s="122"/>
      <c r="G308" s="122">
        <f t="shared" si="27"/>
        <v>0</v>
      </c>
      <c r="H308" s="122"/>
      <c r="I308" s="122">
        <f t="shared" si="28"/>
        <v>0</v>
      </c>
      <c r="J308" s="122">
        <f t="shared" si="29"/>
        <v>0</v>
      </c>
    </row>
    <row r="309" spans="1:10" x14ac:dyDescent="0.25">
      <c r="A309" s="122"/>
      <c r="B309" s="98">
        <f t="shared" si="24"/>
        <v>295</v>
      </c>
      <c r="C309" s="122">
        <f t="shared" si="25"/>
        <v>0</v>
      </c>
      <c r="E309" s="122">
        <f t="shared" si="26"/>
        <v>0</v>
      </c>
      <c r="F309" s="122"/>
      <c r="G309" s="122">
        <f t="shared" si="27"/>
        <v>0</v>
      </c>
      <c r="H309" s="122"/>
      <c r="I309" s="122">
        <f t="shared" si="28"/>
        <v>0</v>
      </c>
      <c r="J309" s="122">
        <f t="shared" si="29"/>
        <v>0</v>
      </c>
    </row>
    <row r="310" spans="1:10" x14ac:dyDescent="0.25">
      <c r="A310" s="122"/>
      <c r="B310" s="98">
        <f t="shared" si="24"/>
        <v>296</v>
      </c>
      <c r="C310" s="122">
        <f t="shared" si="25"/>
        <v>0</v>
      </c>
      <c r="E310" s="122">
        <f t="shared" si="26"/>
        <v>0</v>
      </c>
      <c r="F310" s="122"/>
      <c r="G310" s="122">
        <f t="shared" si="27"/>
        <v>0</v>
      </c>
      <c r="H310" s="122"/>
      <c r="I310" s="122">
        <f t="shared" si="28"/>
        <v>0</v>
      </c>
      <c r="J310" s="122">
        <f t="shared" si="29"/>
        <v>0</v>
      </c>
    </row>
    <row r="311" spans="1:10" x14ac:dyDescent="0.25">
      <c r="A311" s="122"/>
      <c r="B311" s="98">
        <f t="shared" si="24"/>
        <v>297</v>
      </c>
      <c r="C311" s="122">
        <f t="shared" si="25"/>
        <v>0</v>
      </c>
      <c r="E311" s="122">
        <f t="shared" si="26"/>
        <v>0</v>
      </c>
      <c r="F311" s="122"/>
      <c r="G311" s="122">
        <f t="shared" si="27"/>
        <v>0</v>
      </c>
      <c r="H311" s="122"/>
      <c r="I311" s="122">
        <f t="shared" si="28"/>
        <v>0</v>
      </c>
      <c r="J311" s="122">
        <f t="shared" si="29"/>
        <v>0</v>
      </c>
    </row>
    <row r="312" spans="1:10" x14ac:dyDescent="0.25">
      <c r="A312" s="122"/>
      <c r="B312" s="98">
        <f t="shared" si="24"/>
        <v>298</v>
      </c>
      <c r="C312" s="122">
        <f t="shared" si="25"/>
        <v>0</v>
      </c>
      <c r="E312" s="122">
        <f t="shared" si="26"/>
        <v>0</v>
      </c>
      <c r="F312" s="122"/>
      <c r="G312" s="122">
        <f t="shared" si="27"/>
        <v>0</v>
      </c>
      <c r="H312" s="122"/>
      <c r="I312" s="122">
        <f t="shared" si="28"/>
        <v>0</v>
      </c>
      <c r="J312" s="122">
        <f t="shared" si="29"/>
        <v>0</v>
      </c>
    </row>
    <row r="313" spans="1:10" x14ac:dyDescent="0.25">
      <c r="A313" s="122"/>
      <c r="B313" s="98">
        <f t="shared" si="24"/>
        <v>299</v>
      </c>
      <c r="C313" s="122">
        <f t="shared" si="25"/>
        <v>0</v>
      </c>
      <c r="E313" s="122">
        <f t="shared" si="26"/>
        <v>0</v>
      </c>
      <c r="F313" s="122"/>
      <c r="G313" s="122">
        <f t="shared" si="27"/>
        <v>0</v>
      </c>
      <c r="H313" s="122"/>
      <c r="I313" s="122">
        <f t="shared" si="28"/>
        <v>0</v>
      </c>
      <c r="J313" s="122">
        <f t="shared" si="29"/>
        <v>0</v>
      </c>
    </row>
    <row r="314" spans="1:10" x14ac:dyDescent="0.25">
      <c r="A314" s="122"/>
      <c r="B314" s="98">
        <f t="shared" si="24"/>
        <v>300</v>
      </c>
      <c r="C314" s="122">
        <f t="shared" si="25"/>
        <v>0</v>
      </c>
      <c r="E314" s="122">
        <f t="shared" si="26"/>
        <v>0</v>
      </c>
      <c r="F314" s="122"/>
      <c r="G314" s="122">
        <f t="shared" si="27"/>
        <v>0</v>
      </c>
      <c r="H314" s="122"/>
      <c r="I314" s="122">
        <f t="shared" si="28"/>
        <v>0</v>
      </c>
      <c r="J314" s="122">
        <f t="shared" si="29"/>
        <v>0</v>
      </c>
    </row>
    <row r="315" spans="1:10" x14ac:dyDescent="0.25">
      <c r="A315" s="122"/>
      <c r="B315" s="98">
        <f t="shared" si="24"/>
        <v>301</v>
      </c>
      <c r="C315" s="122">
        <f t="shared" si="25"/>
        <v>0</v>
      </c>
      <c r="E315" s="122">
        <f t="shared" si="26"/>
        <v>0</v>
      </c>
      <c r="F315" s="122"/>
      <c r="G315" s="122">
        <f t="shared" si="27"/>
        <v>0</v>
      </c>
      <c r="H315" s="122"/>
      <c r="I315" s="122">
        <f t="shared" si="28"/>
        <v>0</v>
      </c>
      <c r="J315" s="122">
        <f t="shared" si="29"/>
        <v>0</v>
      </c>
    </row>
    <row r="316" spans="1:10" x14ac:dyDescent="0.25">
      <c r="A316" s="122"/>
      <c r="B316" s="98">
        <f t="shared" si="24"/>
        <v>302</v>
      </c>
      <c r="C316" s="122">
        <f t="shared" si="25"/>
        <v>0</v>
      </c>
      <c r="E316" s="122">
        <f t="shared" si="26"/>
        <v>0</v>
      </c>
      <c r="F316" s="122"/>
      <c r="G316" s="122">
        <f t="shared" si="27"/>
        <v>0</v>
      </c>
      <c r="H316" s="122"/>
      <c r="I316" s="122">
        <f t="shared" si="28"/>
        <v>0</v>
      </c>
      <c r="J316" s="122">
        <f t="shared" si="29"/>
        <v>0</v>
      </c>
    </row>
    <row r="317" spans="1:10" x14ac:dyDescent="0.25">
      <c r="A317" s="122"/>
      <c r="B317" s="98">
        <f t="shared" si="24"/>
        <v>303</v>
      </c>
      <c r="C317" s="122">
        <f t="shared" si="25"/>
        <v>0</v>
      </c>
      <c r="E317" s="122">
        <f t="shared" si="26"/>
        <v>0</v>
      </c>
      <c r="F317" s="122"/>
      <c r="G317" s="122">
        <f t="shared" si="27"/>
        <v>0</v>
      </c>
      <c r="H317" s="122"/>
      <c r="I317" s="122">
        <f t="shared" si="28"/>
        <v>0</v>
      </c>
      <c r="J317" s="122">
        <f t="shared" si="29"/>
        <v>0</v>
      </c>
    </row>
    <row r="318" spans="1:10" x14ac:dyDescent="0.25">
      <c r="A318" s="122"/>
      <c r="B318" s="98">
        <f t="shared" si="24"/>
        <v>304</v>
      </c>
      <c r="C318" s="122">
        <f t="shared" si="25"/>
        <v>0</v>
      </c>
      <c r="E318" s="122">
        <f t="shared" si="26"/>
        <v>0</v>
      </c>
      <c r="F318" s="122"/>
      <c r="G318" s="122">
        <f t="shared" si="27"/>
        <v>0</v>
      </c>
      <c r="H318" s="122"/>
      <c r="I318" s="122">
        <f t="shared" si="28"/>
        <v>0</v>
      </c>
      <c r="J318" s="122">
        <f t="shared" si="29"/>
        <v>0</v>
      </c>
    </row>
    <row r="319" spans="1:10" x14ac:dyDescent="0.25">
      <c r="A319" s="122"/>
      <c r="B319" s="98">
        <f t="shared" si="24"/>
        <v>305</v>
      </c>
      <c r="C319" s="122">
        <f t="shared" si="25"/>
        <v>0</v>
      </c>
      <c r="E319" s="122">
        <f t="shared" si="26"/>
        <v>0</v>
      </c>
      <c r="F319" s="122"/>
      <c r="G319" s="122">
        <f t="shared" si="27"/>
        <v>0</v>
      </c>
      <c r="H319" s="122"/>
      <c r="I319" s="122">
        <f t="shared" si="28"/>
        <v>0</v>
      </c>
      <c r="J319" s="122">
        <f t="shared" si="29"/>
        <v>0</v>
      </c>
    </row>
    <row r="320" spans="1:10" x14ac:dyDescent="0.25">
      <c r="A320" s="122"/>
      <c r="B320" s="98">
        <f t="shared" si="24"/>
        <v>306</v>
      </c>
      <c r="C320" s="122">
        <f t="shared" si="25"/>
        <v>0</v>
      </c>
      <c r="E320" s="122">
        <f t="shared" si="26"/>
        <v>0</v>
      </c>
      <c r="F320" s="122"/>
      <c r="G320" s="122">
        <f t="shared" si="27"/>
        <v>0</v>
      </c>
      <c r="H320" s="122"/>
      <c r="I320" s="122">
        <f t="shared" si="28"/>
        <v>0</v>
      </c>
      <c r="J320" s="122">
        <f t="shared" si="29"/>
        <v>0</v>
      </c>
    </row>
    <row r="321" spans="1:10" x14ac:dyDescent="0.25">
      <c r="A321" s="122"/>
      <c r="B321" s="98">
        <f t="shared" si="24"/>
        <v>307</v>
      </c>
      <c r="C321" s="122">
        <f t="shared" si="25"/>
        <v>0</v>
      </c>
      <c r="E321" s="122">
        <f t="shared" si="26"/>
        <v>0</v>
      </c>
      <c r="F321" s="122"/>
      <c r="G321" s="122">
        <f t="shared" si="27"/>
        <v>0</v>
      </c>
      <c r="H321" s="122"/>
      <c r="I321" s="122">
        <f t="shared" si="28"/>
        <v>0</v>
      </c>
      <c r="J321" s="122">
        <f t="shared" si="29"/>
        <v>0</v>
      </c>
    </row>
    <row r="322" spans="1:10" x14ac:dyDescent="0.25">
      <c r="A322" s="122"/>
      <c r="B322" s="98">
        <f t="shared" si="24"/>
        <v>308</v>
      </c>
      <c r="C322" s="122">
        <f t="shared" si="25"/>
        <v>0</v>
      </c>
      <c r="E322" s="122">
        <f t="shared" si="26"/>
        <v>0</v>
      </c>
      <c r="F322" s="122"/>
      <c r="G322" s="122">
        <f t="shared" si="27"/>
        <v>0</v>
      </c>
      <c r="H322" s="122"/>
      <c r="I322" s="122">
        <f t="shared" si="28"/>
        <v>0</v>
      </c>
      <c r="J322" s="122">
        <f t="shared" si="29"/>
        <v>0</v>
      </c>
    </row>
    <row r="323" spans="1:10" x14ac:dyDescent="0.25">
      <c r="A323" s="122"/>
      <c r="B323" s="98">
        <f t="shared" si="24"/>
        <v>309</v>
      </c>
      <c r="C323" s="122">
        <f t="shared" si="25"/>
        <v>0</v>
      </c>
      <c r="E323" s="122">
        <f t="shared" si="26"/>
        <v>0</v>
      </c>
      <c r="F323" s="122"/>
      <c r="G323" s="122">
        <f t="shared" si="27"/>
        <v>0</v>
      </c>
      <c r="H323" s="122"/>
      <c r="I323" s="122">
        <f t="shared" si="28"/>
        <v>0</v>
      </c>
      <c r="J323" s="122">
        <f t="shared" si="29"/>
        <v>0</v>
      </c>
    </row>
    <row r="324" spans="1:10" x14ac:dyDescent="0.25">
      <c r="A324" s="122"/>
      <c r="B324" s="98">
        <f t="shared" si="24"/>
        <v>310</v>
      </c>
      <c r="C324" s="122">
        <f t="shared" si="25"/>
        <v>0</v>
      </c>
      <c r="E324" s="122">
        <f t="shared" si="26"/>
        <v>0</v>
      </c>
      <c r="F324" s="122"/>
      <c r="G324" s="122">
        <f t="shared" si="27"/>
        <v>0</v>
      </c>
      <c r="H324" s="122"/>
      <c r="I324" s="122">
        <f t="shared" si="28"/>
        <v>0</v>
      </c>
      <c r="J324" s="122">
        <f t="shared" si="29"/>
        <v>0</v>
      </c>
    </row>
    <row r="325" spans="1:10" x14ac:dyDescent="0.25">
      <c r="A325" s="122"/>
      <c r="B325" s="98">
        <f t="shared" si="24"/>
        <v>311</v>
      </c>
      <c r="C325" s="122">
        <f t="shared" si="25"/>
        <v>0</v>
      </c>
      <c r="E325" s="122">
        <f t="shared" si="26"/>
        <v>0</v>
      </c>
      <c r="F325" s="122"/>
      <c r="G325" s="122">
        <f t="shared" si="27"/>
        <v>0</v>
      </c>
      <c r="H325" s="122"/>
      <c r="I325" s="122">
        <f t="shared" si="28"/>
        <v>0</v>
      </c>
      <c r="J325" s="122">
        <f t="shared" si="29"/>
        <v>0</v>
      </c>
    </row>
    <row r="326" spans="1:10" x14ac:dyDescent="0.25">
      <c r="A326" s="122"/>
      <c r="B326" s="98">
        <f t="shared" si="24"/>
        <v>312</v>
      </c>
      <c r="C326" s="122">
        <f t="shared" si="25"/>
        <v>0</v>
      </c>
      <c r="E326" s="122">
        <f t="shared" si="26"/>
        <v>0</v>
      </c>
      <c r="F326" s="122"/>
      <c r="G326" s="122">
        <f t="shared" si="27"/>
        <v>0</v>
      </c>
      <c r="H326" s="122"/>
      <c r="I326" s="122">
        <f t="shared" si="28"/>
        <v>0</v>
      </c>
      <c r="J326" s="124">
        <f t="shared" si="29"/>
        <v>0</v>
      </c>
    </row>
    <row r="327" spans="1:10" x14ac:dyDescent="0.25">
      <c r="A327" s="122"/>
      <c r="B327" s="98">
        <f t="shared" si="24"/>
        <v>313</v>
      </c>
      <c r="C327" s="122">
        <f t="shared" si="25"/>
        <v>0</v>
      </c>
      <c r="E327" s="122">
        <f t="shared" si="26"/>
        <v>0</v>
      </c>
      <c r="F327" s="122"/>
      <c r="G327" s="122">
        <f t="shared" si="27"/>
        <v>0</v>
      </c>
      <c r="H327" s="122"/>
      <c r="I327" s="122">
        <f t="shared" si="28"/>
        <v>0</v>
      </c>
      <c r="J327" s="122">
        <f t="shared" si="29"/>
        <v>0</v>
      </c>
    </row>
    <row r="328" spans="1:10" x14ac:dyDescent="0.25">
      <c r="A328" s="122"/>
      <c r="B328" s="98">
        <f t="shared" si="24"/>
        <v>314</v>
      </c>
      <c r="C328" s="122">
        <f t="shared" si="25"/>
        <v>0</v>
      </c>
      <c r="E328" s="122">
        <f t="shared" si="26"/>
        <v>0</v>
      </c>
      <c r="F328" s="122"/>
      <c r="G328" s="122">
        <f t="shared" si="27"/>
        <v>0</v>
      </c>
      <c r="H328" s="122"/>
      <c r="I328" s="122">
        <f t="shared" si="28"/>
        <v>0</v>
      </c>
      <c r="J328" s="122">
        <f t="shared" si="29"/>
        <v>0</v>
      </c>
    </row>
    <row r="329" spans="1:10" x14ac:dyDescent="0.25">
      <c r="A329" s="122"/>
      <c r="B329" s="98">
        <f t="shared" si="24"/>
        <v>315</v>
      </c>
      <c r="C329" s="122">
        <f t="shared" si="25"/>
        <v>0</v>
      </c>
      <c r="E329" s="122">
        <f t="shared" si="26"/>
        <v>0</v>
      </c>
      <c r="F329" s="122"/>
      <c r="G329" s="122">
        <f t="shared" si="27"/>
        <v>0</v>
      </c>
      <c r="H329" s="122"/>
      <c r="I329" s="122">
        <f t="shared" si="28"/>
        <v>0</v>
      </c>
      <c r="J329" s="122">
        <f t="shared" si="29"/>
        <v>0</v>
      </c>
    </row>
    <row r="330" spans="1:10" x14ac:dyDescent="0.25">
      <c r="A330" s="122"/>
      <c r="B330" s="98">
        <f t="shared" si="24"/>
        <v>316</v>
      </c>
      <c r="C330" s="122">
        <f t="shared" si="25"/>
        <v>0</v>
      </c>
      <c r="E330" s="122">
        <f t="shared" si="26"/>
        <v>0</v>
      </c>
      <c r="F330" s="122"/>
      <c r="G330" s="122">
        <f t="shared" si="27"/>
        <v>0</v>
      </c>
      <c r="H330" s="122"/>
      <c r="I330" s="122">
        <f t="shared" si="28"/>
        <v>0</v>
      </c>
      <c r="J330" s="122">
        <f t="shared" si="29"/>
        <v>0</v>
      </c>
    </row>
    <row r="331" spans="1:10" x14ac:dyDescent="0.25">
      <c r="A331" s="122"/>
      <c r="B331" s="98">
        <f t="shared" si="24"/>
        <v>317</v>
      </c>
      <c r="C331" s="122">
        <f t="shared" si="25"/>
        <v>0</v>
      </c>
      <c r="E331" s="122">
        <f t="shared" si="26"/>
        <v>0</v>
      </c>
      <c r="F331" s="122"/>
      <c r="G331" s="122">
        <f t="shared" si="27"/>
        <v>0</v>
      </c>
      <c r="H331" s="122"/>
      <c r="I331" s="122">
        <f t="shared" si="28"/>
        <v>0</v>
      </c>
      <c r="J331" s="122">
        <f t="shared" si="29"/>
        <v>0</v>
      </c>
    </row>
    <row r="332" spans="1:10" x14ac:dyDescent="0.25">
      <c r="A332" s="122"/>
      <c r="B332" s="98">
        <f t="shared" si="24"/>
        <v>318</v>
      </c>
      <c r="C332" s="122">
        <f t="shared" si="25"/>
        <v>0</v>
      </c>
      <c r="E332" s="122">
        <f t="shared" si="26"/>
        <v>0</v>
      </c>
      <c r="F332" s="122"/>
      <c r="G332" s="122">
        <f t="shared" si="27"/>
        <v>0</v>
      </c>
      <c r="H332" s="122"/>
      <c r="I332" s="122">
        <f t="shared" si="28"/>
        <v>0</v>
      </c>
      <c r="J332" s="122">
        <f t="shared" si="29"/>
        <v>0</v>
      </c>
    </row>
    <row r="333" spans="1:10" x14ac:dyDescent="0.25">
      <c r="A333" s="122"/>
      <c r="B333" s="98">
        <f t="shared" si="24"/>
        <v>319</v>
      </c>
      <c r="C333" s="122">
        <f t="shared" si="25"/>
        <v>0</v>
      </c>
      <c r="E333" s="122">
        <f t="shared" si="26"/>
        <v>0</v>
      </c>
      <c r="F333" s="122"/>
      <c r="G333" s="122">
        <f t="shared" si="27"/>
        <v>0</v>
      </c>
      <c r="H333" s="122"/>
      <c r="I333" s="122">
        <f t="shared" si="28"/>
        <v>0</v>
      </c>
      <c r="J333" s="122">
        <f t="shared" si="29"/>
        <v>0</v>
      </c>
    </row>
    <row r="334" spans="1:10" x14ac:dyDescent="0.25">
      <c r="A334" s="122"/>
      <c r="B334" s="98">
        <f t="shared" si="24"/>
        <v>320</v>
      </c>
      <c r="C334" s="122">
        <f t="shared" si="25"/>
        <v>0</v>
      </c>
      <c r="E334" s="122">
        <f t="shared" si="26"/>
        <v>0</v>
      </c>
      <c r="F334" s="122"/>
      <c r="G334" s="122">
        <f t="shared" si="27"/>
        <v>0</v>
      </c>
      <c r="H334" s="122"/>
      <c r="I334" s="122">
        <f t="shared" si="28"/>
        <v>0</v>
      </c>
      <c r="J334" s="122">
        <f t="shared" si="29"/>
        <v>0</v>
      </c>
    </row>
    <row r="335" spans="1:10" x14ac:dyDescent="0.25">
      <c r="A335" s="122"/>
      <c r="B335" s="98">
        <f t="shared" si="24"/>
        <v>321</v>
      </c>
      <c r="C335" s="122">
        <f t="shared" si="25"/>
        <v>0</v>
      </c>
      <c r="E335" s="122">
        <f t="shared" si="26"/>
        <v>0</v>
      </c>
      <c r="F335" s="122"/>
      <c r="G335" s="122">
        <f t="shared" si="27"/>
        <v>0</v>
      </c>
      <c r="H335" s="122"/>
      <c r="I335" s="122">
        <f t="shared" si="28"/>
        <v>0</v>
      </c>
      <c r="J335" s="122">
        <f t="shared" si="29"/>
        <v>0</v>
      </c>
    </row>
    <row r="336" spans="1:10" x14ac:dyDescent="0.25">
      <c r="A336" s="122"/>
      <c r="B336" s="98">
        <f t="shared" ref="B336:B374" si="30">B335+1</f>
        <v>322</v>
      </c>
      <c r="C336" s="122">
        <f t="shared" ref="C336:C374" si="31">IF(B336&gt;$G$8+$L$7,0,J335)</f>
        <v>0</v>
      </c>
      <c r="E336" s="122">
        <f t="shared" ref="E336:E374" si="32">IFERROR(-IF(AND($L$6&gt;0,B336&lt;=$L$7),-$E$10*$E$6,PMT($E$10,$G$8,$E$6))*IF(B336&gt;$G$8+$L$7,0,1),0)</f>
        <v>0</v>
      </c>
      <c r="F336" s="122"/>
      <c r="G336" s="122">
        <f t="shared" ref="G336:G374" si="33">IF(AND($L$6&gt;0,B336&lt;=$L$7),0,C336-J336)</f>
        <v>0</v>
      </c>
      <c r="H336" s="122"/>
      <c r="I336" s="122">
        <f t="shared" ref="I336:I374" si="34">E336-G336</f>
        <v>0</v>
      </c>
      <c r="J336" s="122">
        <f t="shared" ref="J336:J374" si="35">-FV($E$10,1,-E336,C336)</f>
        <v>0</v>
      </c>
    </row>
    <row r="337" spans="1:10" x14ac:dyDescent="0.25">
      <c r="A337" s="122"/>
      <c r="B337" s="98">
        <f t="shared" si="30"/>
        <v>323</v>
      </c>
      <c r="C337" s="122">
        <f t="shared" si="31"/>
        <v>0</v>
      </c>
      <c r="E337" s="122">
        <f t="shared" si="32"/>
        <v>0</v>
      </c>
      <c r="F337" s="122"/>
      <c r="G337" s="122">
        <f t="shared" si="33"/>
        <v>0</v>
      </c>
      <c r="H337" s="122"/>
      <c r="I337" s="122">
        <f t="shared" si="34"/>
        <v>0</v>
      </c>
      <c r="J337" s="122">
        <f t="shared" si="35"/>
        <v>0</v>
      </c>
    </row>
    <row r="338" spans="1:10" x14ac:dyDescent="0.25">
      <c r="A338" s="122"/>
      <c r="B338" s="98">
        <f t="shared" si="30"/>
        <v>324</v>
      </c>
      <c r="C338" s="122">
        <f t="shared" si="31"/>
        <v>0</v>
      </c>
      <c r="E338" s="122">
        <f t="shared" si="32"/>
        <v>0</v>
      </c>
      <c r="F338" s="122"/>
      <c r="G338" s="122">
        <f t="shared" si="33"/>
        <v>0</v>
      </c>
      <c r="H338" s="122"/>
      <c r="I338" s="122">
        <f t="shared" si="34"/>
        <v>0</v>
      </c>
      <c r="J338" s="122">
        <f t="shared" si="35"/>
        <v>0</v>
      </c>
    </row>
    <row r="339" spans="1:10" x14ac:dyDescent="0.25">
      <c r="A339" s="122"/>
      <c r="B339" s="98">
        <f t="shared" si="30"/>
        <v>325</v>
      </c>
      <c r="C339" s="122">
        <f t="shared" si="31"/>
        <v>0</v>
      </c>
      <c r="E339" s="122">
        <f t="shared" si="32"/>
        <v>0</v>
      </c>
      <c r="F339" s="122"/>
      <c r="G339" s="122">
        <f t="shared" si="33"/>
        <v>0</v>
      </c>
      <c r="H339" s="122"/>
      <c r="I339" s="122">
        <f t="shared" si="34"/>
        <v>0</v>
      </c>
      <c r="J339" s="122">
        <f t="shared" si="35"/>
        <v>0</v>
      </c>
    </row>
    <row r="340" spans="1:10" x14ac:dyDescent="0.25">
      <c r="A340" s="122"/>
      <c r="B340" s="98">
        <f t="shared" si="30"/>
        <v>326</v>
      </c>
      <c r="C340" s="122">
        <f t="shared" si="31"/>
        <v>0</v>
      </c>
      <c r="E340" s="122">
        <f t="shared" si="32"/>
        <v>0</v>
      </c>
      <c r="F340" s="122"/>
      <c r="G340" s="122">
        <f t="shared" si="33"/>
        <v>0</v>
      </c>
      <c r="H340" s="122"/>
      <c r="I340" s="122">
        <f t="shared" si="34"/>
        <v>0</v>
      </c>
      <c r="J340" s="122">
        <f t="shared" si="35"/>
        <v>0</v>
      </c>
    </row>
    <row r="341" spans="1:10" x14ac:dyDescent="0.25">
      <c r="A341" s="122"/>
      <c r="B341" s="98">
        <f t="shared" si="30"/>
        <v>327</v>
      </c>
      <c r="C341" s="122">
        <f t="shared" si="31"/>
        <v>0</v>
      </c>
      <c r="E341" s="122">
        <f t="shared" si="32"/>
        <v>0</v>
      </c>
      <c r="F341" s="122"/>
      <c r="G341" s="122">
        <f t="shared" si="33"/>
        <v>0</v>
      </c>
      <c r="H341" s="122"/>
      <c r="I341" s="122">
        <f t="shared" si="34"/>
        <v>0</v>
      </c>
      <c r="J341" s="122">
        <f t="shared" si="35"/>
        <v>0</v>
      </c>
    </row>
    <row r="342" spans="1:10" x14ac:dyDescent="0.25">
      <c r="A342" s="122"/>
      <c r="B342" s="98">
        <f t="shared" si="30"/>
        <v>328</v>
      </c>
      <c r="C342" s="122">
        <f t="shared" si="31"/>
        <v>0</v>
      </c>
      <c r="E342" s="122">
        <f t="shared" si="32"/>
        <v>0</v>
      </c>
      <c r="F342" s="122"/>
      <c r="G342" s="122">
        <f t="shared" si="33"/>
        <v>0</v>
      </c>
      <c r="H342" s="122"/>
      <c r="I342" s="122">
        <f t="shared" si="34"/>
        <v>0</v>
      </c>
      <c r="J342" s="122">
        <f t="shared" si="35"/>
        <v>0</v>
      </c>
    </row>
    <row r="343" spans="1:10" x14ac:dyDescent="0.25">
      <c r="A343" s="122"/>
      <c r="B343" s="98">
        <f t="shared" si="30"/>
        <v>329</v>
      </c>
      <c r="C343" s="122">
        <f t="shared" si="31"/>
        <v>0</v>
      </c>
      <c r="E343" s="122">
        <f t="shared" si="32"/>
        <v>0</v>
      </c>
      <c r="F343" s="122"/>
      <c r="G343" s="122">
        <f t="shared" si="33"/>
        <v>0</v>
      </c>
      <c r="H343" s="122"/>
      <c r="I343" s="122">
        <f t="shared" si="34"/>
        <v>0</v>
      </c>
      <c r="J343" s="122">
        <f t="shared" si="35"/>
        <v>0</v>
      </c>
    </row>
    <row r="344" spans="1:10" x14ac:dyDescent="0.25">
      <c r="A344" s="122"/>
      <c r="B344" s="98">
        <f t="shared" si="30"/>
        <v>330</v>
      </c>
      <c r="C344" s="122">
        <f t="shared" si="31"/>
        <v>0</v>
      </c>
      <c r="E344" s="122">
        <f t="shared" si="32"/>
        <v>0</v>
      </c>
      <c r="F344" s="122"/>
      <c r="G344" s="122">
        <f t="shared" si="33"/>
        <v>0</v>
      </c>
      <c r="H344" s="122"/>
      <c r="I344" s="122">
        <f t="shared" si="34"/>
        <v>0</v>
      </c>
      <c r="J344" s="122">
        <f t="shared" si="35"/>
        <v>0</v>
      </c>
    </row>
    <row r="345" spans="1:10" x14ac:dyDescent="0.25">
      <c r="A345" s="122"/>
      <c r="B345" s="98">
        <f t="shared" si="30"/>
        <v>331</v>
      </c>
      <c r="C345" s="122">
        <f t="shared" si="31"/>
        <v>0</v>
      </c>
      <c r="E345" s="122">
        <f t="shared" si="32"/>
        <v>0</v>
      </c>
      <c r="F345" s="122"/>
      <c r="G345" s="122">
        <f t="shared" si="33"/>
        <v>0</v>
      </c>
      <c r="H345" s="122"/>
      <c r="I345" s="122">
        <f t="shared" si="34"/>
        <v>0</v>
      </c>
      <c r="J345" s="122">
        <f t="shared" si="35"/>
        <v>0</v>
      </c>
    </row>
    <row r="346" spans="1:10" x14ac:dyDescent="0.25">
      <c r="A346" s="122"/>
      <c r="B346" s="98">
        <f t="shared" si="30"/>
        <v>332</v>
      </c>
      <c r="C346" s="122">
        <f t="shared" si="31"/>
        <v>0</v>
      </c>
      <c r="E346" s="122">
        <f t="shared" si="32"/>
        <v>0</v>
      </c>
      <c r="F346" s="122"/>
      <c r="G346" s="122">
        <f t="shared" si="33"/>
        <v>0</v>
      </c>
      <c r="H346" s="122"/>
      <c r="I346" s="122">
        <f t="shared" si="34"/>
        <v>0</v>
      </c>
      <c r="J346" s="122">
        <f t="shared" si="35"/>
        <v>0</v>
      </c>
    </row>
    <row r="347" spans="1:10" x14ac:dyDescent="0.25">
      <c r="A347" s="122"/>
      <c r="B347" s="98">
        <f t="shared" si="30"/>
        <v>333</v>
      </c>
      <c r="C347" s="122">
        <f t="shared" si="31"/>
        <v>0</v>
      </c>
      <c r="E347" s="122">
        <f t="shared" si="32"/>
        <v>0</v>
      </c>
      <c r="F347" s="122"/>
      <c r="G347" s="122">
        <f t="shared" si="33"/>
        <v>0</v>
      </c>
      <c r="H347" s="122"/>
      <c r="I347" s="122">
        <f t="shared" si="34"/>
        <v>0</v>
      </c>
      <c r="J347" s="122">
        <f t="shared" si="35"/>
        <v>0</v>
      </c>
    </row>
    <row r="348" spans="1:10" x14ac:dyDescent="0.25">
      <c r="A348" s="122"/>
      <c r="B348" s="98">
        <f t="shared" si="30"/>
        <v>334</v>
      </c>
      <c r="C348" s="122">
        <f t="shared" si="31"/>
        <v>0</v>
      </c>
      <c r="E348" s="122">
        <f t="shared" si="32"/>
        <v>0</v>
      </c>
      <c r="F348" s="122"/>
      <c r="G348" s="122">
        <f t="shared" si="33"/>
        <v>0</v>
      </c>
      <c r="H348" s="122"/>
      <c r="I348" s="122">
        <f t="shared" si="34"/>
        <v>0</v>
      </c>
      <c r="J348" s="122">
        <f t="shared" si="35"/>
        <v>0</v>
      </c>
    </row>
    <row r="349" spans="1:10" x14ac:dyDescent="0.25">
      <c r="A349" s="122"/>
      <c r="B349" s="98">
        <f t="shared" si="30"/>
        <v>335</v>
      </c>
      <c r="C349" s="122">
        <f t="shared" si="31"/>
        <v>0</v>
      </c>
      <c r="E349" s="122">
        <f t="shared" si="32"/>
        <v>0</v>
      </c>
      <c r="F349" s="122"/>
      <c r="G349" s="122">
        <f t="shared" si="33"/>
        <v>0</v>
      </c>
      <c r="H349" s="122"/>
      <c r="I349" s="122">
        <f t="shared" si="34"/>
        <v>0</v>
      </c>
      <c r="J349" s="122">
        <f t="shared" si="35"/>
        <v>0</v>
      </c>
    </row>
    <row r="350" spans="1:10" x14ac:dyDescent="0.25">
      <c r="A350" s="122"/>
      <c r="B350" s="98">
        <f t="shared" si="30"/>
        <v>336</v>
      </c>
      <c r="C350" s="122">
        <f t="shared" si="31"/>
        <v>0</v>
      </c>
      <c r="E350" s="122">
        <f t="shared" si="32"/>
        <v>0</v>
      </c>
      <c r="F350" s="122"/>
      <c r="G350" s="122">
        <f t="shared" si="33"/>
        <v>0</v>
      </c>
      <c r="H350" s="122"/>
      <c r="I350" s="122">
        <f t="shared" si="34"/>
        <v>0</v>
      </c>
      <c r="J350" s="122">
        <f t="shared" si="35"/>
        <v>0</v>
      </c>
    </row>
    <row r="351" spans="1:10" x14ac:dyDescent="0.25">
      <c r="A351" s="122"/>
      <c r="B351" s="98">
        <f t="shared" si="30"/>
        <v>337</v>
      </c>
      <c r="C351" s="122">
        <f t="shared" si="31"/>
        <v>0</v>
      </c>
      <c r="E351" s="122">
        <f t="shared" si="32"/>
        <v>0</v>
      </c>
      <c r="F351" s="122"/>
      <c r="G351" s="122">
        <f t="shared" si="33"/>
        <v>0</v>
      </c>
      <c r="H351" s="122"/>
      <c r="I351" s="122">
        <f t="shared" si="34"/>
        <v>0</v>
      </c>
      <c r="J351" s="122">
        <f t="shared" si="35"/>
        <v>0</v>
      </c>
    </row>
    <row r="352" spans="1:10" x14ac:dyDescent="0.25">
      <c r="A352" s="122"/>
      <c r="B352" s="98">
        <f t="shared" si="30"/>
        <v>338</v>
      </c>
      <c r="C352" s="122">
        <f t="shared" si="31"/>
        <v>0</v>
      </c>
      <c r="E352" s="122">
        <f t="shared" si="32"/>
        <v>0</v>
      </c>
      <c r="F352" s="122"/>
      <c r="G352" s="122">
        <f t="shared" si="33"/>
        <v>0</v>
      </c>
      <c r="H352" s="122"/>
      <c r="I352" s="122">
        <f t="shared" si="34"/>
        <v>0</v>
      </c>
      <c r="J352" s="122">
        <f t="shared" si="35"/>
        <v>0</v>
      </c>
    </row>
    <row r="353" spans="1:10" x14ac:dyDescent="0.25">
      <c r="A353" s="122"/>
      <c r="B353" s="98">
        <f t="shared" si="30"/>
        <v>339</v>
      </c>
      <c r="C353" s="122">
        <f t="shared" si="31"/>
        <v>0</v>
      </c>
      <c r="E353" s="122">
        <f t="shared" si="32"/>
        <v>0</v>
      </c>
      <c r="F353" s="122"/>
      <c r="G353" s="122">
        <f t="shared" si="33"/>
        <v>0</v>
      </c>
      <c r="H353" s="122"/>
      <c r="I353" s="122">
        <f t="shared" si="34"/>
        <v>0</v>
      </c>
      <c r="J353" s="122">
        <f t="shared" si="35"/>
        <v>0</v>
      </c>
    </row>
    <row r="354" spans="1:10" x14ac:dyDescent="0.25">
      <c r="A354" s="122"/>
      <c r="B354" s="98">
        <f t="shared" si="30"/>
        <v>340</v>
      </c>
      <c r="C354" s="122">
        <f t="shared" si="31"/>
        <v>0</v>
      </c>
      <c r="E354" s="122">
        <f t="shared" si="32"/>
        <v>0</v>
      </c>
      <c r="F354" s="122"/>
      <c r="G354" s="122">
        <f t="shared" si="33"/>
        <v>0</v>
      </c>
      <c r="H354" s="122"/>
      <c r="I354" s="122">
        <f t="shared" si="34"/>
        <v>0</v>
      </c>
      <c r="J354" s="122">
        <f t="shared" si="35"/>
        <v>0</v>
      </c>
    </row>
    <row r="355" spans="1:10" x14ac:dyDescent="0.25">
      <c r="A355" s="122"/>
      <c r="B355" s="98">
        <f t="shared" si="30"/>
        <v>341</v>
      </c>
      <c r="C355" s="122">
        <f t="shared" si="31"/>
        <v>0</v>
      </c>
      <c r="E355" s="122">
        <f t="shared" si="32"/>
        <v>0</v>
      </c>
      <c r="F355" s="122"/>
      <c r="G355" s="122">
        <f t="shared" si="33"/>
        <v>0</v>
      </c>
      <c r="H355" s="122"/>
      <c r="I355" s="122">
        <f t="shared" si="34"/>
        <v>0</v>
      </c>
      <c r="J355" s="122">
        <f t="shared" si="35"/>
        <v>0</v>
      </c>
    </row>
    <row r="356" spans="1:10" x14ac:dyDescent="0.25">
      <c r="A356" s="122"/>
      <c r="B356" s="98">
        <f t="shared" si="30"/>
        <v>342</v>
      </c>
      <c r="C356" s="122">
        <f t="shared" si="31"/>
        <v>0</v>
      </c>
      <c r="E356" s="122">
        <f t="shared" si="32"/>
        <v>0</v>
      </c>
      <c r="F356" s="122"/>
      <c r="G356" s="122">
        <f t="shared" si="33"/>
        <v>0</v>
      </c>
      <c r="H356" s="122"/>
      <c r="I356" s="122">
        <f t="shared" si="34"/>
        <v>0</v>
      </c>
      <c r="J356" s="122">
        <f t="shared" si="35"/>
        <v>0</v>
      </c>
    </row>
    <row r="357" spans="1:10" x14ac:dyDescent="0.25">
      <c r="A357" s="122"/>
      <c r="B357" s="98">
        <f t="shared" si="30"/>
        <v>343</v>
      </c>
      <c r="C357" s="122">
        <f t="shared" si="31"/>
        <v>0</v>
      </c>
      <c r="E357" s="122">
        <f t="shared" si="32"/>
        <v>0</v>
      </c>
      <c r="F357" s="122"/>
      <c r="G357" s="122">
        <f t="shared" si="33"/>
        <v>0</v>
      </c>
      <c r="H357" s="122"/>
      <c r="I357" s="122">
        <f t="shared" si="34"/>
        <v>0</v>
      </c>
      <c r="J357" s="122">
        <f t="shared" si="35"/>
        <v>0</v>
      </c>
    </row>
    <row r="358" spans="1:10" x14ac:dyDescent="0.25">
      <c r="A358" s="122"/>
      <c r="B358" s="98">
        <f t="shared" si="30"/>
        <v>344</v>
      </c>
      <c r="C358" s="122">
        <f t="shared" si="31"/>
        <v>0</v>
      </c>
      <c r="E358" s="122">
        <f t="shared" si="32"/>
        <v>0</v>
      </c>
      <c r="F358" s="122"/>
      <c r="G358" s="122">
        <f t="shared" si="33"/>
        <v>0</v>
      </c>
      <c r="H358" s="122"/>
      <c r="I358" s="122">
        <f t="shared" si="34"/>
        <v>0</v>
      </c>
      <c r="J358" s="122">
        <f t="shared" si="35"/>
        <v>0</v>
      </c>
    </row>
    <row r="359" spans="1:10" x14ac:dyDescent="0.25">
      <c r="A359" s="122"/>
      <c r="B359" s="98">
        <f t="shared" si="30"/>
        <v>345</v>
      </c>
      <c r="C359" s="122">
        <f t="shared" si="31"/>
        <v>0</v>
      </c>
      <c r="E359" s="122">
        <f t="shared" si="32"/>
        <v>0</v>
      </c>
      <c r="F359" s="122"/>
      <c r="G359" s="122">
        <f t="shared" si="33"/>
        <v>0</v>
      </c>
      <c r="H359" s="122"/>
      <c r="I359" s="122">
        <f t="shared" si="34"/>
        <v>0</v>
      </c>
      <c r="J359" s="122">
        <f t="shared" si="35"/>
        <v>0</v>
      </c>
    </row>
    <row r="360" spans="1:10" x14ac:dyDescent="0.25">
      <c r="A360" s="122"/>
      <c r="B360" s="98">
        <f t="shared" si="30"/>
        <v>346</v>
      </c>
      <c r="C360" s="122">
        <f t="shared" si="31"/>
        <v>0</v>
      </c>
      <c r="E360" s="122">
        <f t="shared" si="32"/>
        <v>0</v>
      </c>
      <c r="F360" s="122"/>
      <c r="G360" s="122">
        <f t="shared" si="33"/>
        <v>0</v>
      </c>
      <c r="H360" s="122"/>
      <c r="I360" s="122">
        <f t="shared" si="34"/>
        <v>0</v>
      </c>
      <c r="J360" s="122">
        <f t="shared" si="35"/>
        <v>0</v>
      </c>
    </row>
    <row r="361" spans="1:10" x14ac:dyDescent="0.25">
      <c r="A361" s="122"/>
      <c r="B361" s="98">
        <f t="shared" si="30"/>
        <v>347</v>
      </c>
      <c r="C361" s="122">
        <f t="shared" si="31"/>
        <v>0</v>
      </c>
      <c r="E361" s="122">
        <f t="shared" si="32"/>
        <v>0</v>
      </c>
      <c r="F361" s="122"/>
      <c r="G361" s="122">
        <f t="shared" si="33"/>
        <v>0</v>
      </c>
      <c r="H361" s="122"/>
      <c r="I361" s="122">
        <f t="shared" si="34"/>
        <v>0</v>
      </c>
      <c r="J361" s="122">
        <f t="shared" si="35"/>
        <v>0</v>
      </c>
    </row>
    <row r="362" spans="1:10" x14ac:dyDescent="0.25">
      <c r="A362" s="122"/>
      <c r="B362" s="98">
        <f t="shared" si="30"/>
        <v>348</v>
      </c>
      <c r="C362" s="122">
        <f t="shared" si="31"/>
        <v>0</v>
      </c>
      <c r="E362" s="122">
        <f t="shared" si="32"/>
        <v>0</v>
      </c>
      <c r="F362" s="122"/>
      <c r="G362" s="122">
        <f t="shared" si="33"/>
        <v>0</v>
      </c>
      <c r="H362" s="122"/>
      <c r="I362" s="122">
        <f t="shared" si="34"/>
        <v>0</v>
      </c>
      <c r="J362" s="122">
        <f t="shared" si="35"/>
        <v>0</v>
      </c>
    </row>
    <row r="363" spans="1:10" x14ac:dyDescent="0.25">
      <c r="A363" s="122"/>
      <c r="B363" s="98">
        <f t="shared" si="30"/>
        <v>349</v>
      </c>
      <c r="C363" s="122">
        <f t="shared" si="31"/>
        <v>0</v>
      </c>
      <c r="E363" s="122">
        <f t="shared" si="32"/>
        <v>0</v>
      </c>
      <c r="F363" s="122"/>
      <c r="G363" s="122">
        <f t="shared" si="33"/>
        <v>0</v>
      </c>
      <c r="H363" s="122"/>
      <c r="I363" s="122">
        <f t="shared" si="34"/>
        <v>0</v>
      </c>
      <c r="J363" s="122">
        <f t="shared" si="35"/>
        <v>0</v>
      </c>
    </row>
    <row r="364" spans="1:10" x14ac:dyDescent="0.25">
      <c r="B364" s="98">
        <f t="shared" si="30"/>
        <v>350</v>
      </c>
      <c r="C364" s="122">
        <f t="shared" si="31"/>
        <v>0</v>
      </c>
      <c r="E364" s="122">
        <f t="shared" si="32"/>
        <v>0</v>
      </c>
      <c r="F364" s="122"/>
      <c r="G364" s="122">
        <f t="shared" si="33"/>
        <v>0</v>
      </c>
      <c r="H364" s="122"/>
      <c r="I364" s="122">
        <f t="shared" si="34"/>
        <v>0</v>
      </c>
      <c r="J364" s="122">
        <f t="shared" si="35"/>
        <v>0</v>
      </c>
    </row>
    <row r="365" spans="1:10" x14ac:dyDescent="0.25">
      <c r="B365" s="98">
        <f t="shared" si="30"/>
        <v>351</v>
      </c>
      <c r="C365" s="122">
        <f t="shared" si="31"/>
        <v>0</v>
      </c>
      <c r="E365" s="122">
        <f t="shared" si="32"/>
        <v>0</v>
      </c>
      <c r="F365" s="122"/>
      <c r="G365" s="122">
        <f t="shared" si="33"/>
        <v>0</v>
      </c>
      <c r="H365" s="122"/>
      <c r="I365" s="122">
        <f t="shared" si="34"/>
        <v>0</v>
      </c>
      <c r="J365" s="122">
        <f t="shared" si="35"/>
        <v>0</v>
      </c>
    </row>
    <row r="366" spans="1:10" x14ac:dyDescent="0.25">
      <c r="B366" s="98">
        <f t="shared" si="30"/>
        <v>352</v>
      </c>
      <c r="C366" s="122">
        <f t="shared" si="31"/>
        <v>0</v>
      </c>
      <c r="E366" s="122">
        <f t="shared" si="32"/>
        <v>0</v>
      </c>
      <c r="F366" s="122"/>
      <c r="G366" s="122">
        <f t="shared" si="33"/>
        <v>0</v>
      </c>
      <c r="H366" s="122"/>
      <c r="I366" s="122">
        <f t="shared" si="34"/>
        <v>0</v>
      </c>
      <c r="J366" s="122">
        <f t="shared" si="35"/>
        <v>0</v>
      </c>
    </row>
    <row r="367" spans="1:10" x14ac:dyDescent="0.25">
      <c r="B367" s="98">
        <f t="shared" si="30"/>
        <v>353</v>
      </c>
      <c r="C367" s="122">
        <f t="shared" si="31"/>
        <v>0</v>
      </c>
      <c r="E367" s="122">
        <f t="shared" si="32"/>
        <v>0</v>
      </c>
      <c r="F367" s="122"/>
      <c r="G367" s="122">
        <f t="shared" si="33"/>
        <v>0</v>
      </c>
      <c r="H367" s="122"/>
      <c r="I367" s="122">
        <f t="shared" si="34"/>
        <v>0</v>
      </c>
      <c r="J367" s="122">
        <f t="shared" si="35"/>
        <v>0</v>
      </c>
    </row>
    <row r="368" spans="1:10" x14ac:dyDescent="0.25">
      <c r="B368" s="98">
        <f t="shared" si="30"/>
        <v>354</v>
      </c>
      <c r="C368" s="122">
        <f t="shared" si="31"/>
        <v>0</v>
      </c>
      <c r="E368" s="122">
        <f t="shared" si="32"/>
        <v>0</v>
      </c>
      <c r="F368" s="122"/>
      <c r="G368" s="122">
        <f t="shared" si="33"/>
        <v>0</v>
      </c>
      <c r="H368" s="122"/>
      <c r="I368" s="122">
        <f t="shared" si="34"/>
        <v>0</v>
      </c>
      <c r="J368" s="122">
        <f t="shared" si="35"/>
        <v>0</v>
      </c>
    </row>
    <row r="369" spans="2:10" x14ac:dyDescent="0.25">
      <c r="B369" s="98">
        <f t="shared" si="30"/>
        <v>355</v>
      </c>
      <c r="C369" s="122">
        <f t="shared" si="31"/>
        <v>0</v>
      </c>
      <c r="E369" s="122">
        <f t="shared" si="32"/>
        <v>0</v>
      </c>
      <c r="F369" s="122"/>
      <c r="G369" s="122">
        <f t="shared" si="33"/>
        <v>0</v>
      </c>
      <c r="H369" s="122"/>
      <c r="I369" s="122">
        <f t="shared" si="34"/>
        <v>0</v>
      </c>
      <c r="J369" s="122">
        <f t="shared" si="35"/>
        <v>0</v>
      </c>
    </row>
    <row r="370" spans="2:10" x14ac:dyDescent="0.25">
      <c r="B370" s="98">
        <f t="shared" si="30"/>
        <v>356</v>
      </c>
      <c r="C370" s="122">
        <f t="shared" si="31"/>
        <v>0</v>
      </c>
      <c r="E370" s="122">
        <f t="shared" si="32"/>
        <v>0</v>
      </c>
      <c r="F370" s="122"/>
      <c r="G370" s="122">
        <f t="shared" si="33"/>
        <v>0</v>
      </c>
      <c r="H370" s="122"/>
      <c r="I370" s="122">
        <f t="shared" si="34"/>
        <v>0</v>
      </c>
      <c r="J370" s="122">
        <f t="shared" si="35"/>
        <v>0</v>
      </c>
    </row>
    <row r="371" spans="2:10" x14ac:dyDescent="0.25">
      <c r="B371" s="98">
        <f t="shared" si="30"/>
        <v>357</v>
      </c>
      <c r="C371" s="122">
        <f t="shared" si="31"/>
        <v>0</v>
      </c>
      <c r="E371" s="122">
        <f t="shared" si="32"/>
        <v>0</v>
      </c>
      <c r="F371" s="122"/>
      <c r="G371" s="122">
        <f t="shared" si="33"/>
        <v>0</v>
      </c>
      <c r="H371" s="122"/>
      <c r="I371" s="122">
        <f t="shared" si="34"/>
        <v>0</v>
      </c>
      <c r="J371" s="122">
        <f t="shared" si="35"/>
        <v>0</v>
      </c>
    </row>
    <row r="372" spans="2:10" x14ac:dyDescent="0.25">
      <c r="B372" s="98">
        <f t="shared" si="30"/>
        <v>358</v>
      </c>
      <c r="C372" s="122">
        <f t="shared" si="31"/>
        <v>0</v>
      </c>
      <c r="E372" s="122">
        <f t="shared" si="32"/>
        <v>0</v>
      </c>
      <c r="F372" s="122"/>
      <c r="G372" s="122">
        <f t="shared" si="33"/>
        <v>0</v>
      </c>
      <c r="H372" s="122"/>
      <c r="I372" s="122">
        <f t="shared" si="34"/>
        <v>0</v>
      </c>
      <c r="J372" s="122">
        <f t="shared" si="35"/>
        <v>0</v>
      </c>
    </row>
    <row r="373" spans="2:10" x14ac:dyDescent="0.25">
      <c r="B373" s="98">
        <f t="shared" si="30"/>
        <v>359</v>
      </c>
      <c r="C373" s="122">
        <f t="shared" si="31"/>
        <v>0</v>
      </c>
      <c r="E373" s="122">
        <f t="shared" si="32"/>
        <v>0</v>
      </c>
      <c r="F373" s="122"/>
      <c r="G373" s="122">
        <f t="shared" si="33"/>
        <v>0</v>
      </c>
      <c r="H373" s="122"/>
      <c r="I373" s="122">
        <f t="shared" si="34"/>
        <v>0</v>
      </c>
      <c r="J373" s="122">
        <f t="shared" si="35"/>
        <v>0</v>
      </c>
    </row>
    <row r="374" spans="2:10" x14ac:dyDescent="0.25">
      <c r="B374" s="98">
        <f t="shared" si="30"/>
        <v>360</v>
      </c>
      <c r="C374" s="122">
        <f t="shared" si="31"/>
        <v>0</v>
      </c>
      <c r="E374" s="122">
        <f t="shared" si="32"/>
        <v>0</v>
      </c>
      <c r="F374" s="122"/>
      <c r="G374" s="122">
        <f t="shared" si="33"/>
        <v>0</v>
      </c>
      <c r="H374" s="122"/>
      <c r="I374" s="122">
        <f t="shared" si="34"/>
        <v>0</v>
      </c>
      <c r="J374" s="122">
        <f t="shared" si="35"/>
        <v>0</v>
      </c>
    </row>
  </sheetData>
  <mergeCells count="4">
    <mergeCell ref="G6:I6"/>
    <mergeCell ref="L6:M6"/>
    <mergeCell ref="L7:M7"/>
    <mergeCell ref="G8:I8"/>
  </mergeCells>
  <conditionalFormatting sqref="G12">
    <cfRule type="cellIs" dxfId="5" priority="1" operator="lessThan">
      <formula>$E$6</formula>
    </cfRule>
  </conditionalFormatting>
  <conditionalFormatting sqref="G6:I7">
    <cfRule type="containsText" dxfId="4" priority="2" stopIfTrue="1" operator="containsText" text="Correct">
      <formula>NOT(ISERROR(SEARCH("Correct",G6)))</formula>
    </cfRule>
    <cfRule type="containsText" dxfId="3" priority="3" stopIfTrue="1" operator="containsText" text="OK">
      <formula>NOT(ISERROR(SEARCH("OK",G6)))</formula>
    </cfRule>
    <cfRule type="containsText" dxfId="2" priority="4" stopIfTrue="1" operator="containsText" text="Fix">
      <formula>NOT(ISERROR(SEARCH("Fix",G6)))</formula>
    </cfRule>
    <cfRule type="containsText" dxfId="1" priority="5" stopIfTrue="1" operator="containsText" text="OK">
      <formula>NOT(ISERROR(SEARCH("OK",G6)))</formula>
    </cfRule>
    <cfRule type="containsText" dxfId="0" priority="6" stopIfTrue="1" operator="containsText" text="Fix">
      <formula>NOT(ISERROR(SEARCH("Fix",G6)))</formula>
    </cfRule>
  </conditionalFormatting>
  <hyperlinks>
    <hyperlink ref="A1" location="'Table of Contents'!A1" display="Table of Contents" xr:uid="{755370DA-5F4B-481D-8CF6-88EF13EAD73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1. Instructions</vt:lpstr>
      <vt:lpstr>2.Dashboard</vt:lpstr>
      <vt:lpstr>3. Analysis</vt:lpstr>
      <vt:lpstr>4. First Yr. Cash Flow Schedule</vt:lpstr>
      <vt:lpstr>5. 15 Year Projection</vt:lpstr>
      <vt:lpstr>6. Snr. Debt Amortiz. Schedule</vt:lpstr>
      <vt:lpstr>7. Mezz. Debt Amortiz. Sched.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Stokely</dc:creator>
  <cp:lastModifiedBy>Nathan Stokely</cp:lastModifiedBy>
  <cp:lastPrinted>2025-01-28T15:55:39Z</cp:lastPrinted>
  <dcterms:created xsi:type="dcterms:W3CDTF">2024-08-19T14:16:02Z</dcterms:created>
  <dcterms:modified xsi:type="dcterms:W3CDTF">2025-01-31T20:52:52Z</dcterms:modified>
</cp:coreProperties>
</file>